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4448B3F9-1322-44E8-8C9C-B1BFE40F92C1}" xr6:coauthVersionLast="47" xr6:coauthVersionMax="47" xr10:uidLastSave="{00000000-0000-0000-0000-000000000000}"/>
  <bookViews>
    <workbookView xWindow="28680" yWindow="-120" windowWidth="29040" windowHeight="15720" xr2:uid="{87897CDB-9A55-4EF2-A8CF-AB96CF6D15F2}"/>
  </bookViews>
  <sheets>
    <sheet name="Informations générales" sheetId="18" r:id="rId1"/>
    <sheet name="Plan plaque - Saisie lectures" sheetId="16" r:id="rId2"/>
    <sheet name="Résultats" sheetId="17" r:id="rId3"/>
  </sheets>
  <definedNames>
    <definedName name="A" localSheetId="2">Résultats!$E$29</definedName>
    <definedName name="A">#REF!</definedName>
    <definedName name="ABS_LOD" localSheetId="2">Résultats!$AN$22</definedName>
    <definedName name="ABS_LOD">#REF!</definedName>
    <definedName name="ABS_LOQ" localSheetId="2">Résultats!$AN$23</definedName>
    <definedName name="ABS_LOQ">#REF!</definedName>
    <definedName name="COEFF_A" localSheetId="2">Résultats!$E$29</definedName>
    <definedName name="COEFF_A">#REF!</definedName>
    <definedName name="COEFF_B" localSheetId="2">Résultats!$E$30</definedName>
    <definedName name="COEFF_B">#REF!</definedName>
    <definedName name="COEFF_C" localSheetId="2">Résultats!$E$31</definedName>
    <definedName name="COEFF_C">#REF!</definedName>
    <definedName name="NSB" localSheetId="2">Résultats!$AN$20</definedName>
    <definedName name="NSB">#REF!</definedName>
    <definedName name="SATURATION" localSheetId="2">Résultats!$I$15</definedName>
    <definedName name="SATURATION">#REF!</definedName>
    <definedName name="_xlnm.Print_Area" localSheetId="0">'Informations générales'!$A$1:$B$24</definedName>
    <definedName name="_xlnm.Print_Area" localSheetId="1">'Plan plaque - Saisie lectures'!$A$1:$P$68</definedName>
    <definedName name="_xlnm.Print_Area" localSheetId="2">Résultats!$A$1:$M$87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7" l="1"/>
  <c r="J48" i="17"/>
  <c r="J49" i="17"/>
  <c r="J50" i="17"/>
  <c r="J52" i="17"/>
  <c r="J53" i="17"/>
  <c r="J54" i="17"/>
  <c r="J55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AK42" i="17" l="1"/>
  <c r="AK43" i="17"/>
  <c r="AK44" i="17"/>
  <c r="AK45" i="17"/>
  <c r="AK46" i="17"/>
  <c r="AK47" i="17"/>
  <c r="AK48" i="17"/>
  <c r="AK49" i="17"/>
  <c r="AK50" i="17"/>
  <c r="AK51" i="17"/>
  <c r="AK52" i="17"/>
  <c r="AK53" i="17"/>
  <c r="AK54" i="17"/>
  <c r="AK55" i="17"/>
  <c r="AK56" i="17"/>
  <c r="AK57" i="17"/>
  <c r="AK58" i="17"/>
  <c r="AK59" i="17"/>
  <c r="AK60" i="17"/>
  <c r="AK61" i="17"/>
  <c r="AK62" i="17"/>
  <c r="AK63" i="17"/>
  <c r="AK64" i="17"/>
  <c r="AK65" i="17"/>
  <c r="AK66" i="17"/>
  <c r="AK67" i="17"/>
  <c r="AK68" i="17"/>
  <c r="AK69" i="17"/>
  <c r="AK70" i="17"/>
  <c r="AK71" i="17"/>
  <c r="AK72" i="17"/>
  <c r="AK73" i="17"/>
  <c r="AK74" i="17"/>
  <c r="AK75" i="17"/>
  <c r="AK76" i="17"/>
  <c r="AK77" i="17"/>
  <c r="AK78" i="17"/>
  <c r="AK79" i="17"/>
  <c r="AK80" i="17"/>
  <c r="AL23" i="17"/>
  <c r="B17" i="17" s="1"/>
  <c r="AL22" i="17"/>
  <c r="B16" i="17" s="1"/>
  <c r="AK41" i="17"/>
  <c r="C6" i="17"/>
  <c r="I6" i="17"/>
  <c r="I5" i="17"/>
  <c r="C5" i="17"/>
  <c r="AJ25" i="17" l="1"/>
  <c r="D26" i="17" s="1"/>
  <c r="AJ20" i="17"/>
  <c r="D21" i="17" s="1"/>
  <c r="D80" i="17"/>
  <c r="D74" i="17"/>
  <c r="D75" i="17"/>
  <c r="D76" i="17"/>
  <c r="D77" i="17"/>
  <c r="D78" i="17"/>
  <c r="D79" i="17"/>
  <c r="D73" i="17"/>
  <c r="D72" i="17"/>
  <c r="D66" i="17"/>
  <c r="D67" i="17"/>
  <c r="D68" i="17"/>
  <c r="D69" i="17"/>
  <c r="D70" i="17"/>
  <c r="D71" i="17"/>
  <c r="D65" i="17"/>
  <c r="D63" i="17"/>
  <c r="D64" i="17"/>
  <c r="D58" i="17"/>
  <c r="D59" i="17"/>
  <c r="D60" i="17"/>
  <c r="D61" i="17"/>
  <c r="D62" i="17"/>
  <c r="D57" i="17"/>
  <c r="D56" i="17"/>
  <c r="D50" i="17"/>
  <c r="D51" i="17"/>
  <c r="D52" i="17"/>
  <c r="D53" i="17"/>
  <c r="D54" i="17"/>
  <c r="D55" i="17"/>
  <c r="D49" i="17"/>
  <c r="D48" i="17"/>
  <c r="D42" i="17"/>
  <c r="D43" i="17"/>
  <c r="D44" i="17"/>
  <c r="D45" i="17"/>
  <c r="D46" i="17"/>
  <c r="D47" i="17"/>
  <c r="D41" i="17"/>
  <c r="AL21" i="17"/>
  <c r="B15" i="17" s="1"/>
  <c r="AL20" i="17"/>
  <c r="B14" i="17" s="1"/>
  <c r="AN20" i="17" l="1"/>
  <c r="AK26" i="17" s="1"/>
  <c r="AN21" i="17"/>
  <c r="E14" i="17" s="1"/>
  <c r="E13" i="17" l="1"/>
  <c r="F13" i="17" s="1"/>
  <c r="AN22" i="17"/>
  <c r="AJ21" i="17" l="1"/>
  <c r="D22" i="17" s="1"/>
  <c r="AJ22" i="17"/>
  <c r="D23" i="17" s="1"/>
  <c r="AJ23" i="17"/>
  <c r="D24" i="17" s="1"/>
  <c r="AJ24" i="17"/>
  <c r="D25" i="17" s="1"/>
  <c r="AI22" i="17"/>
  <c r="C23" i="17" s="1"/>
  <c r="AI23" i="17"/>
  <c r="C24" i="17" s="1"/>
  <c r="AI24" i="17"/>
  <c r="C25" i="17" s="1"/>
  <c r="AI25" i="17"/>
  <c r="C26" i="17" s="1"/>
  <c r="AI21" i="17"/>
  <c r="C22" i="17" s="1"/>
  <c r="AI20" i="17"/>
  <c r="C21" i="17" s="1"/>
  <c r="E24" i="17" l="1"/>
  <c r="F24" i="17" s="1"/>
  <c r="E26" i="17"/>
  <c r="G26" i="17" s="1"/>
  <c r="E25" i="17"/>
  <c r="F25" i="17" s="1"/>
  <c r="E23" i="17"/>
  <c r="F23" i="17" s="1"/>
  <c r="E22" i="17"/>
  <c r="F22" i="17" s="1"/>
  <c r="E21" i="17"/>
  <c r="G21" i="17" s="1"/>
  <c r="I14" i="17"/>
  <c r="I15" i="17"/>
  <c r="N36" i="16"/>
  <c r="M36" i="16"/>
  <c r="L36" i="16"/>
  <c r="K36" i="16"/>
  <c r="J36" i="16"/>
  <c r="I36" i="16"/>
  <c r="H36" i="16"/>
  <c r="G36" i="16"/>
  <c r="F36" i="16"/>
  <c r="E36" i="16"/>
  <c r="D36" i="16"/>
  <c r="C36" i="16"/>
  <c r="F26" i="17" l="1"/>
  <c r="F21" i="17"/>
  <c r="AK20" i="17"/>
  <c r="AH74" i="17"/>
  <c r="AH78" i="17"/>
  <c r="AH66" i="17"/>
  <c r="AH70" i="17"/>
  <c r="AH58" i="17"/>
  <c r="AH62" i="17"/>
  <c r="AH50" i="17"/>
  <c r="AH54" i="17"/>
  <c r="AH42" i="17"/>
  <c r="AH46" i="17"/>
  <c r="AI74" i="17"/>
  <c r="F74" i="17" s="1"/>
  <c r="AH75" i="17"/>
  <c r="AI75" i="17"/>
  <c r="F75" i="17" s="1"/>
  <c r="AH76" i="17"/>
  <c r="AH80" i="17"/>
  <c r="AH68" i="17"/>
  <c r="AH72" i="17"/>
  <c r="AH60" i="17"/>
  <c r="AH64" i="17"/>
  <c r="AH52" i="17"/>
  <c r="AH56" i="17"/>
  <c r="AH44" i="17"/>
  <c r="AH48" i="17"/>
  <c r="AI66" i="17"/>
  <c r="F66" i="17" s="1"/>
  <c r="AI62" i="17"/>
  <c r="F62" i="17" s="1"/>
  <c r="AI54" i="17"/>
  <c r="F54" i="17" s="1"/>
  <c r="AI46" i="17"/>
  <c r="F46" i="17" s="1"/>
  <c r="AH67" i="17"/>
  <c r="AH63" i="17"/>
  <c r="AH55" i="17"/>
  <c r="AH47" i="17"/>
  <c r="AI67" i="17"/>
  <c r="F67" i="17" s="1"/>
  <c r="AI51" i="17"/>
  <c r="F51" i="17" s="1"/>
  <c r="AI43" i="17"/>
  <c r="F43" i="17" s="1"/>
  <c r="AI76" i="17"/>
  <c r="F76" i="17" s="1"/>
  <c r="AI80" i="17"/>
  <c r="F80" i="17" s="1"/>
  <c r="AI68" i="17"/>
  <c r="F68" i="17" s="1"/>
  <c r="AI72" i="17"/>
  <c r="F72" i="17" s="1"/>
  <c r="AI60" i="17"/>
  <c r="F60" i="17" s="1"/>
  <c r="AI64" i="17"/>
  <c r="F64" i="17" s="1"/>
  <c r="AI52" i="17"/>
  <c r="F52" i="17" s="1"/>
  <c r="AI56" i="17"/>
  <c r="F56" i="17" s="1"/>
  <c r="AI44" i="17"/>
  <c r="F44" i="17" s="1"/>
  <c r="AI48" i="17"/>
  <c r="F48" i="17" s="1"/>
  <c r="AI41" i="17"/>
  <c r="AI58" i="17"/>
  <c r="F58" i="17" s="1"/>
  <c r="AH59" i="17"/>
  <c r="AI71" i="17"/>
  <c r="F71" i="17" s="1"/>
  <c r="AH77" i="17"/>
  <c r="AI73" i="17"/>
  <c r="F73" i="17" s="1"/>
  <c r="AH69" i="17"/>
  <c r="AI65" i="17"/>
  <c r="F65" i="17" s="1"/>
  <c r="AH61" i="17"/>
  <c r="AI57" i="17"/>
  <c r="F57" i="17" s="1"/>
  <c r="AH53" i="17"/>
  <c r="AI49" i="17"/>
  <c r="F49" i="17" s="1"/>
  <c r="AH45" i="17"/>
  <c r="AH41" i="17"/>
  <c r="AI70" i="17"/>
  <c r="F70" i="17" s="1"/>
  <c r="AH71" i="17"/>
  <c r="AI59" i="17"/>
  <c r="F59" i="17" s="1"/>
  <c r="AI77" i="17"/>
  <c r="F77" i="17" s="1"/>
  <c r="AH73" i="17"/>
  <c r="AI69" i="17"/>
  <c r="F69" i="17" s="1"/>
  <c r="AH65" i="17"/>
  <c r="AI61" i="17"/>
  <c r="F61" i="17" s="1"/>
  <c r="AH57" i="17"/>
  <c r="AI53" i="17"/>
  <c r="F53" i="17" s="1"/>
  <c r="AH49" i="17"/>
  <c r="AI45" i="17"/>
  <c r="F45" i="17" s="1"/>
  <c r="AI78" i="17"/>
  <c r="F78" i="17" s="1"/>
  <c r="AI50" i="17"/>
  <c r="F50" i="17" s="1"/>
  <c r="AI42" i="17"/>
  <c r="F42" i="17" s="1"/>
  <c r="AH79" i="17"/>
  <c r="AH51" i="17"/>
  <c r="AH43" i="17"/>
  <c r="AI79" i="17"/>
  <c r="F79" i="17" s="1"/>
  <c r="AI63" i="17"/>
  <c r="F63" i="17" s="1"/>
  <c r="AI55" i="17"/>
  <c r="F55" i="17" s="1"/>
  <c r="AI47" i="17"/>
  <c r="F47" i="17" s="1"/>
  <c r="E57" i="17" l="1"/>
  <c r="K57" i="17" s="1"/>
  <c r="AM57" i="17"/>
  <c r="AM64" i="17"/>
  <c r="E64" i="17"/>
  <c r="E65" i="17"/>
  <c r="K65" i="17" s="1"/>
  <c r="AM65" i="17"/>
  <c r="E73" i="17"/>
  <c r="K73" i="17" s="1"/>
  <c r="AM73" i="17"/>
  <c r="AM53" i="17"/>
  <c r="E53" i="17"/>
  <c r="E59" i="17"/>
  <c r="AM59" i="17"/>
  <c r="E47" i="17"/>
  <c r="K47" i="17" s="1"/>
  <c r="AM47" i="17"/>
  <c r="E48" i="17"/>
  <c r="AM48" i="17"/>
  <c r="E80" i="17"/>
  <c r="AM80" i="17"/>
  <c r="AM50" i="17"/>
  <c r="E50" i="17"/>
  <c r="K50" i="17" s="1"/>
  <c r="E55" i="17"/>
  <c r="K55" i="17" s="1"/>
  <c r="AM55" i="17"/>
  <c r="E44" i="17"/>
  <c r="K44" i="17" s="1"/>
  <c r="AM44" i="17"/>
  <c r="AM76" i="17"/>
  <c r="E76" i="17"/>
  <c r="K76" i="17" s="1"/>
  <c r="E62" i="17"/>
  <c r="K62" i="17" s="1"/>
  <c r="AM62" i="17"/>
  <c r="AM69" i="17"/>
  <c r="E69" i="17"/>
  <c r="E49" i="17"/>
  <c r="K49" i="17" s="1"/>
  <c r="AM49" i="17"/>
  <c r="AM61" i="17"/>
  <c r="E61" i="17"/>
  <c r="E63" i="17"/>
  <c r="K63" i="17" s="1"/>
  <c r="AM63" i="17"/>
  <c r="AM56" i="17"/>
  <c r="E56" i="17"/>
  <c r="AM58" i="17"/>
  <c r="E58" i="17"/>
  <c r="K58" i="17" s="1"/>
  <c r="E43" i="17"/>
  <c r="K43" i="17" s="1"/>
  <c r="AM43" i="17"/>
  <c r="E71" i="17"/>
  <c r="K71" i="17" s="1"/>
  <c r="AM71" i="17"/>
  <c r="E67" i="17"/>
  <c r="AM67" i="17"/>
  <c r="E52" i="17"/>
  <c r="K52" i="17" s="1"/>
  <c r="AM52" i="17"/>
  <c r="E75" i="17"/>
  <c r="AM75" i="17"/>
  <c r="E70" i="17"/>
  <c r="K70" i="17" s="1"/>
  <c r="AM70" i="17"/>
  <c r="AM66" i="17"/>
  <c r="E66" i="17"/>
  <c r="K66" i="17" s="1"/>
  <c r="E79" i="17"/>
  <c r="K79" i="17" s="1"/>
  <c r="AM79" i="17"/>
  <c r="E60" i="17"/>
  <c r="K60" i="17" s="1"/>
  <c r="AM60" i="17"/>
  <c r="E46" i="17"/>
  <c r="K46" i="17" s="1"/>
  <c r="AM46" i="17"/>
  <c r="E78" i="17"/>
  <c r="K78" i="17" s="1"/>
  <c r="AM78" i="17"/>
  <c r="E45" i="17"/>
  <c r="AM45" i="17"/>
  <c r="AM77" i="17"/>
  <c r="E77" i="17"/>
  <c r="E72" i="17"/>
  <c r="AM72" i="17"/>
  <c r="AM42" i="17"/>
  <c r="E42" i="17"/>
  <c r="K42" i="17" s="1"/>
  <c r="AM74" i="17"/>
  <c r="E74" i="17"/>
  <c r="K74" i="17" s="1"/>
  <c r="E51" i="17"/>
  <c r="AM51" i="17"/>
  <c r="AM68" i="17"/>
  <c r="E68" i="17"/>
  <c r="K68" i="17" s="1"/>
  <c r="E54" i="17"/>
  <c r="K54" i="17" s="1"/>
  <c r="AM54" i="17"/>
  <c r="AM41" i="17"/>
  <c r="F41" i="17"/>
  <c r="E41" i="17"/>
  <c r="AK21" i="17"/>
  <c r="AH20" i="17"/>
  <c r="K41" i="17" l="1"/>
  <c r="G64" i="17"/>
  <c r="K64" i="17"/>
  <c r="G61" i="17"/>
  <c r="K61" i="17"/>
  <c r="G53" i="17"/>
  <c r="K53" i="17"/>
  <c r="G56" i="17"/>
  <c r="K56" i="17"/>
  <c r="G69" i="17"/>
  <c r="K69" i="17"/>
  <c r="G77" i="17"/>
  <c r="K77" i="17"/>
  <c r="G51" i="17"/>
  <c r="K51" i="17"/>
  <c r="G67" i="17"/>
  <c r="K67" i="17"/>
  <c r="G72" i="17"/>
  <c r="K72" i="17"/>
  <c r="G59" i="17"/>
  <c r="K59" i="17"/>
  <c r="G75" i="17"/>
  <c r="K75" i="17"/>
  <c r="G80" i="17"/>
  <c r="K80" i="17"/>
  <c r="G48" i="17"/>
  <c r="K48" i="17"/>
  <c r="G45" i="17"/>
  <c r="K45" i="17"/>
  <c r="G74" i="17"/>
  <c r="G58" i="17"/>
  <c r="G54" i="17"/>
  <c r="G78" i="17"/>
  <c r="G55" i="17"/>
  <c r="G47" i="17"/>
  <c r="G65" i="17"/>
  <c r="G79" i="17"/>
  <c r="G52" i="17"/>
  <c r="G49" i="17"/>
  <c r="G44" i="17"/>
  <c r="G73" i="17"/>
  <c r="G42" i="17"/>
  <c r="G66" i="17"/>
  <c r="G68" i="17"/>
  <c r="G50" i="17"/>
  <c r="G63" i="17"/>
  <c r="G70" i="17"/>
  <c r="G62" i="17"/>
  <c r="G46" i="17"/>
  <c r="G71" i="17"/>
  <c r="G76" i="17"/>
  <c r="G60" i="17"/>
  <c r="G43" i="17"/>
  <c r="G57" i="17"/>
  <c r="G41" i="17"/>
  <c r="AH25" i="17"/>
  <c r="AH23" i="17"/>
  <c r="AH24" i="17"/>
  <c r="AH21" i="17"/>
  <c r="AH22" i="17"/>
  <c r="AK23" i="17"/>
  <c r="AK24" i="17"/>
  <c r="AK22" i="17"/>
  <c r="AK25" i="17"/>
  <c r="AN23" i="17"/>
  <c r="E16" i="17" s="1"/>
  <c r="E15" i="17"/>
  <c r="E31" i="17" l="1"/>
  <c r="E32" i="17"/>
  <c r="F32" i="17" s="1"/>
  <c r="E29" i="17"/>
  <c r="E30" i="17"/>
  <c r="AJ71" i="17" l="1"/>
  <c r="AJ49" i="17"/>
  <c r="AJ42" i="17"/>
  <c r="AJ73" i="17"/>
  <c r="AJ76" i="17"/>
  <c r="AJ78" i="17"/>
  <c r="AJ54" i="17"/>
  <c r="AJ63" i="17"/>
  <c r="AJ45" i="17"/>
  <c r="AJ67" i="17"/>
  <c r="AJ59" i="17"/>
  <c r="AJ69" i="17"/>
  <c r="AJ48" i="17"/>
  <c r="AJ75" i="17"/>
  <c r="AJ77" i="17"/>
  <c r="AJ56" i="17"/>
  <c r="AJ64" i="17"/>
  <c r="AJ53" i="17"/>
  <c r="AJ61" i="17"/>
  <c r="AJ51" i="17"/>
  <c r="AJ80" i="17"/>
  <c r="AJ72" i="17"/>
  <c r="AJ44" i="17"/>
  <c r="AJ43" i="17"/>
  <c r="AJ41" i="17"/>
  <c r="AJ74" i="17"/>
  <c r="AJ65" i="17"/>
  <c r="AJ70" i="17"/>
  <c r="AJ55" i="17"/>
  <c r="AJ47" i="17"/>
  <c r="AJ58" i="17"/>
  <c r="AJ52" i="17"/>
  <c r="AJ50" i="17"/>
  <c r="AJ79" i="17"/>
  <c r="AJ68" i="17"/>
  <c r="AJ60" i="17"/>
  <c r="AJ57" i="17"/>
  <c r="AJ62" i="17"/>
  <c r="AJ46" i="17"/>
  <c r="AJ66" i="17"/>
  <c r="I13" i="17"/>
  <c r="J13" i="17" s="1"/>
  <c r="AJ40" i="17"/>
  <c r="H47" i="17" l="1"/>
  <c r="AL47" i="17" s="1"/>
  <c r="J47" i="17" s="1"/>
  <c r="H72" i="17"/>
  <c r="AL72" i="17" s="1"/>
  <c r="H57" i="17"/>
  <c r="AL57" i="17" s="1"/>
  <c r="H80" i="17"/>
  <c r="AL80" i="17" s="1"/>
  <c r="H56" i="17"/>
  <c r="AL56" i="17" s="1"/>
  <c r="J56" i="17"/>
  <c r="H46" i="17"/>
  <c r="AL46" i="17" s="1"/>
  <c r="J46" i="17" s="1"/>
  <c r="H75" i="17"/>
  <c r="AL75" i="17" s="1"/>
  <c r="H48" i="17"/>
  <c r="AL48" i="17" s="1"/>
  <c r="H73" i="17"/>
  <c r="AL73" i="17" s="1"/>
  <c r="H59" i="17"/>
  <c r="AL59" i="17" s="1"/>
  <c r="H51" i="17"/>
  <c r="AL51" i="17" s="1"/>
  <c r="J51" i="17" s="1"/>
  <c r="H65" i="17"/>
  <c r="AL65" i="17" s="1"/>
  <c r="H67" i="17"/>
  <c r="AL67" i="17" s="1"/>
  <c r="H64" i="17"/>
  <c r="AL64" i="17" s="1"/>
  <c r="H79" i="17"/>
  <c r="AL79" i="17" s="1"/>
  <c r="H71" i="17"/>
  <c r="AL71" i="17" s="1"/>
  <c r="H63" i="17"/>
  <c r="AL63" i="17" s="1"/>
  <c r="H55" i="17"/>
  <c r="AL55" i="17" s="1"/>
  <c r="H78" i="17"/>
  <c r="AL78" i="17" s="1"/>
  <c r="H76" i="17"/>
  <c r="AL76" i="17" s="1"/>
  <c r="H77" i="17"/>
  <c r="AL77" i="17" s="1"/>
  <c r="H74" i="17"/>
  <c r="AL74" i="17" s="1"/>
  <c r="H70" i="17"/>
  <c r="AL70" i="17" s="1"/>
  <c r="H66" i="17"/>
  <c r="AL66" i="17" s="1"/>
  <c r="H69" i="17"/>
  <c r="AL69" i="17" s="1"/>
  <c r="H68" i="17"/>
  <c r="AL68" i="17" s="1"/>
  <c r="H58" i="17"/>
  <c r="AL58" i="17" s="1"/>
  <c r="H62" i="17"/>
  <c r="AL62" i="17" s="1"/>
  <c r="H61" i="17"/>
  <c r="AL61" i="17" s="1"/>
  <c r="H60" i="17"/>
  <c r="AL60" i="17" s="1"/>
  <c r="H54" i="17"/>
  <c r="AL54" i="17" s="1"/>
  <c r="H52" i="17"/>
  <c r="AL52" i="17" s="1"/>
  <c r="H53" i="17"/>
  <c r="AL53" i="17" s="1"/>
  <c r="H49" i="17"/>
  <c r="AL49" i="17" s="1"/>
  <c r="H50" i="17"/>
  <c r="AL50" i="17" s="1"/>
  <c r="H41" i="17"/>
  <c r="AL41" i="17" s="1"/>
  <c r="J41" i="17" s="1"/>
  <c r="H43" i="17"/>
  <c r="AL43" i="17" s="1"/>
  <c r="J43" i="17" s="1"/>
  <c r="H44" i="17"/>
  <c r="AL44" i="17" s="1"/>
  <c r="J44" i="17" s="1"/>
  <c r="H42" i="17"/>
  <c r="AL42" i="17" s="1"/>
  <c r="J42" i="17" s="1"/>
  <c r="H45" i="17"/>
  <c r="AL45" i="17" s="1"/>
  <c r="J45" i="17" s="1"/>
</calcChain>
</file>

<file path=xl/sharedStrings.xml><?xml version="1.0" encoding="utf-8"?>
<sst xmlns="http://schemas.openxmlformats.org/spreadsheetml/2006/main" count="159" uniqueCount="130">
  <si>
    <t>ELISA ANTHRAX eZYDIAG® Quantitatif</t>
  </si>
  <si>
    <t>Laboratoire</t>
  </si>
  <si>
    <t>Date </t>
  </si>
  <si>
    <t>Opérateur</t>
  </si>
  <si>
    <t>Date d’ouverture du kit et des réactifs </t>
  </si>
  <si>
    <t>Nombre d’utilisations préalables du kit </t>
  </si>
  <si>
    <r>
      <t>Agitateur</t>
    </r>
    <r>
      <rPr>
        <b/>
        <sz val="10"/>
        <color theme="1"/>
        <rFont val="Calibri"/>
        <family val="2"/>
        <scheme val="minor"/>
      </rPr>
      <t xml:space="preserve"> (marque, modèle) </t>
    </r>
  </si>
  <si>
    <r>
      <t xml:space="preserve">Laveur </t>
    </r>
    <r>
      <rPr>
        <b/>
        <sz val="10"/>
        <color theme="1"/>
        <rFont val="Calibri"/>
        <family val="2"/>
        <scheme val="minor"/>
      </rPr>
      <t>(marque, modèle) </t>
    </r>
  </si>
  <si>
    <t>Respect des protocoles de lavage* : oui/non</t>
  </si>
  <si>
    <r>
      <t xml:space="preserve">Lecteur </t>
    </r>
    <r>
      <rPr>
        <b/>
        <sz val="10"/>
        <color theme="1"/>
        <rFont val="Calibri"/>
        <family val="2"/>
        <scheme val="minor"/>
      </rPr>
      <t>(marque modèle) </t>
    </r>
  </si>
  <si>
    <t>Heure de début de manipulation </t>
  </si>
  <si>
    <t>Heure de fin de protocole </t>
  </si>
  <si>
    <t>Température du laboratoire </t>
  </si>
  <si>
    <t>REMARQUES</t>
  </si>
  <si>
    <t xml:space="preserve">
</t>
  </si>
  <si>
    <t>Page 1/3</t>
  </si>
  <si>
    <t xml:space="preserve">Laboratoire </t>
  </si>
  <si>
    <t>…..................................................</t>
  </si>
  <si>
    <t xml:space="preserve">Lot kit </t>
  </si>
  <si>
    <t>…....................................</t>
  </si>
  <si>
    <r>
      <t xml:space="preserve">Date  </t>
    </r>
    <r>
      <rPr>
        <sz val="12"/>
        <color theme="1"/>
        <rFont val="Calibri"/>
        <family val="2"/>
        <scheme val="minor"/>
      </rPr>
      <t>(jj/mm/aaaa)</t>
    </r>
  </si>
  <si>
    <t>Péremption</t>
  </si>
  <si>
    <t xml:space="preserve">Opérateur </t>
  </si>
  <si>
    <t>PLAN DE PLAQUE</t>
  </si>
  <si>
    <t>STANDARDS</t>
  </si>
  <si>
    <t>SAISIR L'IDENTIFIANT DE CHACUN DE VOS ECHANTILLONS DANS LES CASES</t>
  </si>
  <si>
    <t>A</t>
  </si>
  <si>
    <t>ECH N°1</t>
  </si>
  <si>
    <t>ECH N°9</t>
  </si>
  <si>
    <t>ECH N°17</t>
  </si>
  <si>
    <t>ECH N°25</t>
  </si>
  <si>
    <t>ECH N°33</t>
  </si>
  <si>
    <t>B</t>
  </si>
  <si>
    <t>ECH N°2</t>
  </si>
  <si>
    <t>ECH N°10</t>
  </si>
  <si>
    <t>ECH N°18</t>
  </si>
  <si>
    <t>ECH N°26</t>
  </si>
  <si>
    <t>ECH N°34</t>
  </si>
  <si>
    <t>C</t>
  </si>
  <si>
    <t>ECH N°3</t>
  </si>
  <si>
    <t>ECH N°11</t>
  </si>
  <si>
    <t>ECH N°19</t>
  </si>
  <si>
    <t>ECH N°27</t>
  </si>
  <si>
    <t>ECH N°35</t>
  </si>
  <si>
    <t>D</t>
  </si>
  <si>
    <t>ECH N°4</t>
  </si>
  <si>
    <t>ECH N°12</t>
  </si>
  <si>
    <t>ECH N°20</t>
  </si>
  <si>
    <t>ECH N°28</t>
  </si>
  <si>
    <t>ECH N°36</t>
  </si>
  <si>
    <t>E</t>
  </si>
  <si>
    <t>ECH N°5</t>
  </si>
  <si>
    <t>ECH N°13</t>
  </si>
  <si>
    <t>ECH N°21</t>
  </si>
  <si>
    <t>ECH N°29</t>
  </si>
  <si>
    <t>ECH N°37</t>
  </si>
  <si>
    <t>F</t>
  </si>
  <si>
    <t>ECH N°6</t>
  </si>
  <si>
    <t>ECH N°14</t>
  </si>
  <si>
    <t>ECH N°22</t>
  </si>
  <si>
    <t>ECH N°30</t>
  </si>
  <si>
    <t>ECH N°38</t>
  </si>
  <si>
    <t>G</t>
  </si>
  <si>
    <t>ECH N°7</t>
  </si>
  <si>
    <t>ECH N°15</t>
  </si>
  <si>
    <t>ECH N°23</t>
  </si>
  <si>
    <t>ECH N°31</t>
  </si>
  <si>
    <t>ECH N°39</t>
  </si>
  <si>
    <t>H</t>
  </si>
  <si>
    <t>ECH N°8</t>
  </si>
  <si>
    <t>ECH N°16</t>
  </si>
  <si>
    <t>ECH N°24</t>
  </si>
  <si>
    <t>ECH N°32</t>
  </si>
  <si>
    <t>ECH N°40</t>
  </si>
  <si>
    <t>Données expérimentales à entrer en Unité d'Absorbance  =  (DO 450 nm) - (DO 630 ou 620 nm)</t>
  </si>
  <si>
    <t>(Respecter le plan de plaque défini ci-dessus)</t>
  </si>
  <si>
    <t>Page 2/3</t>
  </si>
  <si>
    <t xml:space="preserve">Lot Kit  </t>
  </si>
  <si>
    <t>Date</t>
  </si>
  <si>
    <t xml:space="preserve">Date péremption  </t>
  </si>
  <si>
    <t>PROTOCOLE QUANTITATIF</t>
  </si>
  <si>
    <r>
      <t xml:space="preserve">Témoin négatif (TN)
</t>
    </r>
    <r>
      <rPr>
        <sz val="12"/>
        <color theme="1"/>
        <rFont val="Calibri"/>
        <family val="2"/>
        <scheme val="minor"/>
      </rPr>
      <t>Liaison non spécifique</t>
    </r>
  </si>
  <si>
    <t>Calcul des limites de détection et quantification</t>
  </si>
  <si>
    <t>Abs (DO)</t>
  </si>
  <si>
    <t>Moyenne (DO) =</t>
  </si>
  <si>
    <t>Ecart type ET =</t>
  </si>
  <si>
    <t>Moy + 3 ET =</t>
  </si>
  <si>
    <t>Moy + 10 ET =</t>
  </si>
  <si>
    <t>Gamme standard</t>
  </si>
  <si>
    <t>STD rep 1</t>
  </si>
  <si>
    <t>STD rep2</t>
  </si>
  <si>
    <t xml:space="preserve">TN </t>
  </si>
  <si>
    <t>Toxin LF (pg/mL)</t>
  </si>
  <si>
    <t>Abs 1 (DO)</t>
  </si>
  <si>
    <t>Abs 2 (DO)</t>
  </si>
  <si>
    <t>Moyenne (DO)</t>
  </si>
  <si>
    <t>CV (%)</t>
  </si>
  <si>
    <r>
      <t>Paramètres de la courbe de calibration (y =  Ax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+Bx+C)</t>
    </r>
  </si>
  <si>
    <t>Coefficient de corrélation</t>
  </si>
  <si>
    <t>r²</t>
  </si>
  <si>
    <t>Résultats échantillons</t>
  </si>
  <si>
    <t xml:space="preserve">facteur de dilution </t>
  </si>
  <si>
    <t>concentration non diluée</t>
  </si>
  <si>
    <t>Cv (%)</t>
  </si>
  <si>
    <t xml:space="preserve">precision </t>
  </si>
  <si>
    <t>Echantillon</t>
  </si>
  <si>
    <t>Concentration diluée
(pg/mL)</t>
  </si>
  <si>
    <t xml:space="preserve">Facteur de dilution </t>
  </si>
  <si>
    <t>Concentration (pg/mL)</t>
  </si>
  <si>
    <t>Visa Opérateur :</t>
  </si>
  <si>
    <t>…...........................</t>
  </si>
  <si>
    <t xml:space="preserve">Validation : </t>
  </si>
  <si>
    <t>Page 3/3</t>
  </si>
  <si>
    <t>STD 200</t>
  </si>
  <si>
    <t>STD 100</t>
  </si>
  <si>
    <t>STD 50</t>
  </si>
  <si>
    <t>STD 25</t>
  </si>
  <si>
    <t>STD 12,5</t>
  </si>
  <si>
    <t>STD 6,25</t>
  </si>
  <si>
    <t>STD0</t>
  </si>
  <si>
    <t>*Compléter le facteur de dilution</t>
  </si>
  <si>
    <r>
      <t xml:space="preserve">Acceptance criteria              ( DO STD 6,25 / </t>
    </r>
    <r>
      <rPr>
        <b/>
        <sz val="11"/>
        <color theme="1"/>
        <rFont val="Aptos Narrow"/>
        <family val="2"/>
      </rPr>
      <t>DO TN) ≥ 2</t>
    </r>
  </si>
  <si>
    <r>
      <t xml:space="preserve">Acceptance criteria     (DO STD 200 </t>
    </r>
    <r>
      <rPr>
        <b/>
        <sz val="11"/>
        <color theme="1"/>
        <rFont val="Aptos Narrow"/>
        <family val="2"/>
      </rPr>
      <t>≥ 1,300</t>
    </r>
  </si>
  <si>
    <r>
      <t xml:space="preserve">Acceptance criteria NC </t>
    </r>
    <r>
      <rPr>
        <b/>
        <sz val="12"/>
        <color theme="1"/>
        <rFont val="Aptos Narrow"/>
        <family val="2"/>
      </rPr>
      <t>≤</t>
    </r>
    <r>
      <rPr>
        <b/>
        <sz val="9.6"/>
        <color theme="1"/>
        <rFont val="Calibri"/>
        <family val="2"/>
      </rPr>
      <t xml:space="preserve"> 0,025</t>
    </r>
  </si>
  <si>
    <t>Acceptance criteria LOD &lt; LOQ</t>
  </si>
  <si>
    <r>
      <t xml:space="preserve"> </t>
    </r>
    <r>
      <rPr>
        <i/>
        <sz val="11"/>
        <rFont val="Calibri"/>
        <family val="2"/>
        <scheme val="minor"/>
      </rPr>
      <t xml:space="preserve"> Limite de détection</t>
    </r>
    <r>
      <rPr>
        <sz val="11"/>
        <rFont val="Calibri"/>
        <family val="2"/>
        <scheme val="minor"/>
      </rPr>
      <t xml:space="preserve"> LOD (pg/mL) =</t>
    </r>
  </si>
  <si>
    <r>
      <t xml:space="preserve">  </t>
    </r>
    <r>
      <rPr>
        <i/>
        <sz val="11"/>
        <rFont val="Calibri"/>
        <family val="2"/>
        <scheme val="minor"/>
      </rPr>
      <t>Limite de quantification</t>
    </r>
    <r>
      <rPr>
        <sz val="11"/>
        <rFont val="Calibri"/>
        <family val="2"/>
        <scheme val="minor"/>
      </rPr>
      <t xml:space="preserve"> LOQ (pg/mL) =</t>
    </r>
  </si>
  <si>
    <r>
      <t xml:space="preserve">  </t>
    </r>
    <r>
      <rPr>
        <i/>
        <sz val="11"/>
        <rFont val="Calibri"/>
        <family val="2"/>
        <scheme val="minor"/>
      </rPr>
      <t>Signal saturation</t>
    </r>
    <r>
      <rPr>
        <sz val="11"/>
        <rFont val="Calibri"/>
        <family val="2"/>
        <scheme val="minor"/>
      </rPr>
      <t xml:space="preserve">  (DO) =</t>
    </r>
  </si>
  <si>
    <t>Acceptance criteria r² ≥ 0,99</t>
  </si>
  <si>
    <t>Anthrax_quantif_V02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</si>
</sst>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00"/>
    <numFmt numFmtId="166" formatCode="0.0"/>
    <numFmt numFmtId="167" formatCode="0.0000"/>
  </numFmts>
  <fonts count="48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name val="Arial"/>
      <family val="2"/>
    </font>
    <font>
      <b/>
      <i/>
      <sz val="18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i/>
      <sz val="16"/>
      <color rgb="FFC00000"/>
      <name val="Calibri"/>
      <family val="2"/>
      <scheme val="minor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6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0"/>
      <name val="Segoe UI"/>
      <family val="2"/>
    </font>
    <font>
      <b/>
      <sz val="12"/>
      <color theme="1"/>
      <name val="Aptos Narrow"/>
      <family val="2"/>
    </font>
    <font>
      <b/>
      <sz val="9.6"/>
      <color theme="1"/>
      <name val="Calibri"/>
      <family val="2"/>
    </font>
    <font>
      <b/>
      <sz val="11"/>
      <color theme="1"/>
      <name val="Aptos Narrow"/>
      <family val="2"/>
    </font>
    <font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6FFC1"/>
        <bgColor indexed="64"/>
      </patternFill>
    </fill>
    <fill>
      <patternFill patternType="solid">
        <fgColor rgb="FFFFFF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41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Protection="1">
      <protection locked="0"/>
    </xf>
    <xf numFmtId="0" fontId="9" fillId="3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49" fontId="0" fillId="0" borderId="22" xfId="0" applyNumberFormat="1" applyBorder="1" applyAlignment="1" applyProtection="1">
      <alignment horizontal="left" vertical="center"/>
      <protection locked="0"/>
    </xf>
    <xf numFmtId="49" fontId="0" fillId="0" borderId="31" xfId="0" applyNumberFormat="1" applyBorder="1" applyAlignment="1" applyProtection="1">
      <alignment horizontal="left" vertical="center"/>
      <protection locked="0"/>
    </xf>
    <xf numFmtId="49" fontId="0" fillId="0" borderId="32" xfId="0" applyNumberFormat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4" fillId="0" borderId="26" xfId="0" applyFont="1" applyBorder="1" applyAlignment="1" applyProtection="1">
      <alignment vertical="center"/>
      <protection locked="0"/>
    </xf>
    <xf numFmtId="0" fontId="4" fillId="0" borderId="27" xfId="0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5" borderId="27" xfId="0" applyFont="1" applyFill="1" applyBorder="1" applyAlignment="1" applyProtection="1">
      <alignment vertical="center"/>
      <protection locked="0"/>
    </xf>
    <xf numFmtId="49" fontId="0" fillId="5" borderId="31" xfId="0" applyNumberFormat="1" applyFill="1" applyBorder="1" applyAlignment="1" applyProtection="1">
      <alignment horizontal="left" vertical="center"/>
      <protection locked="0"/>
    </xf>
    <xf numFmtId="0" fontId="0" fillId="5" borderId="25" xfId="0" applyFill="1" applyBorder="1" applyAlignment="1" applyProtection="1">
      <alignment vertical="center"/>
      <protection locked="0"/>
    </xf>
    <xf numFmtId="49" fontId="0" fillId="5" borderId="32" xfId="0" applyNumberFormat="1" applyFill="1" applyBorder="1" applyAlignment="1" applyProtection="1">
      <alignment horizontal="left" vertical="center"/>
      <protection locked="0"/>
    </xf>
    <xf numFmtId="0" fontId="0" fillId="5" borderId="16" xfId="0" applyFill="1" applyBorder="1" applyAlignment="1" applyProtection="1">
      <alignment vertical="center"/>
      <protection locked="0"/>
    </xf>
    <xf numFmtId="49" fontId="0" fillId="5" borderId="4" xfId="0" applyNumberFormat="1" applyFill="1" applyBorder="1" applyAlignment="1" applyProtection="1">
      <alignment horizontal="left" vertical="center"/>
      <protection locked="0"/>
    </xf>
    <xf numFmtId="17" fontId="15" fillId="3" borderId="0" xfId="0" applyNumberFormat="1" applyFont="1" applyFill="1" applyAlignment="1" applyProtection="1">
      <alignment horizontal="left" vertical="center"/>
      <protection locked="0"/>
    </xf>
    <xf numFmtId="0" fontId="9" fillId="3" borderId="0" xfId="0" applyFont="1" applyFill="1"/>
    <xf numFmtId="0" fontId="10" fillId="3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10" fillId="3" borderId="0" xfId="0" applyFont="1" applyFill="1"/>
    <xf numFmtId="0" fontId="3" fillId="3" borderId="0" xfId="0" applyFont="1" applyFill="1"/>
    <xf numFmtId="0" fontId="0" fillId="3" borderId="0" xfId="0" applyFill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6" fillId="3" borderId="0" xfId="0" applyFont="1" applyFill="1" applyAlignment="1">
      <alignment vertical="center" wrapText="1"/>
    </xf>
    <xf numFmtId="0" fontId="23" fillId="3" borderId="0" xfId="0" applyFont="1" applyFill="1" applyAlignment="1">
      <alignment horizontal="center" vertical="center"/>
    </xf>
    <xf numFmtId="0" fontId="4" fillId="3" borderId="0" xfId="0" quotePrefix="1" applyFont="1" applyFill="1" applyAlignment="1">
      <alignment horizontal="center"/>
    </xf>
    <xf numFmtId="0" fontId="0" fillId="3" borderId="0" xfId="0" quotePrefix="1" applyFill="1"/>
    <xf numFmtId="0" fontId="12" fillId="0" borderId="6" xfId="0" applyFont="1" applyBorder="1" applyAlignment="1">
      <alignment horizontal="center"/>
    </xf>
    <xf numFmtId="0" fontId="13" fillId="0" borderId="39" xfId="0" applyFont="1" applyBorder="1" applyAlignment="1">
      <alignment horizontal="center" vertical="center"/>
    </xf>
    <xf numFmtId="0" fontId="0" fillId="3" borderId="14" xfId="0" applyFill="1" applyBorder="1"/>
    <xf numFmtId="0" fontId="0" fillId="3" borderId="17" xfId="0" applyFill="1" applyBorder="1"/>
    <xf numFmtId="0" fontId="21" fillId="3" borderId="0" xfId="0" applyFont="1" applyFill="1"/>
    <xf numFmtId="0" fontId="1" fillId="3" borderId="0" xfId="0" applyFont="1" applyFill="1" applyProtection="1">
      <protection locked="0"/>
    </xf>
    <xf numFmtId="14" fontId="0" fillId="3" borderId="0" xfId="0" applyNumberFormat="1" applyFill="1" applyAlignment="1" applyProtection="1">
      <alignment horizontal="center"/>
      <protection locked="0"/>
    </xf>
    <xf numFmtId="0" fontId="41" fillId="16" borderId="1" xfId="0" applyFont="1" applyFill="1" applyBorder="1" applyAlignment="1" applyProtection="1">
      <alignment horizontal="center" vertical="center"/>
      <protection locked="0"/>
    </xf>
    <xf numFmtId="0" fontId="42" fillId="14" borderId="1" xfId="0" applyFont="1" applyFill="1" applyBorder="1" applyAlignment="1" applyProtection="1">
      <alignment horizontal="center" vertical="center" wrapText="1"/>
      <protection locked="0"/>
    </xf>
    <xf numFmtId="0" fontId="41" fillId="14" borderId="1" xfId="0" applyFont="1" applyFill="1" applyBorder="1" applyAlignment="1" applyProtection="1">
      <alignment horizontal="center" vertical="center"/>
      <protection locked="0"/>
    </xf>
    <xf numFmtId="0" fontId="41" fillId="15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wrapText="1"/>
    </xf>
    <xf numFmtId="0" fontId="27" fillId="3" borderId="0" xfId="0" applyFont="1" applyFill="1"/>
    <xf numFmtId="0" fontId="17" fillId="3" borderId="0" xfId="0" applyFont="1" applyFill="1"/>
    <xf numFmtId="0" fontId="28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167" fontId="0" fillId="0" borderId="22" xfId="0" applyNumberFormat="1" applyBorder="1" applyAlignment="1">
      <alignment horizontal="center" vertical="center"/>
    </xf>
    <xf numFmtId="0" fontId="40" fillId="3" borderId="0" xfId="0" applyFont="1" applyFill="1"/>
    <xf numFmtId="0" fontId="0" fillId="5" borderId="34" xfId="0" applyFill="1" applyBorder="1"/>
    <xf numFmtId="167" fontId="0" fillId="0" borderId="31" xfId="0" applyNumberFormat="1" applyBorder="1" applyAlignment="1">
      <alignment horizontal="center" vertical="center"/>
    </xf>
    <xf numFmtId="0" fontId="0" fillId="5" borderId="30" xfId="0" applyFill="1" applyBorder="1"/>
    <xf numFmtId="167" fontId="0" fillId="0" borderId="4" xfId="0" applyNumberFormat="1" applyBorder="1" applyAlignment="1">
      <alignment horizontal="center" vertical="center"/>
    </xf>
    <xf numFmtId="0" fontId="29" fillId="3" borderId="0" xfId="0" applyFont="1" applyFill="1"/>
    <xf numFmtId="0" fontId="4" fillId="6" borderId="10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2" fontId="27" fillId="3" borderId="0" xfId="0" applyNumberFormat="1" applyFont="1" applyFill="1"/>
    <xf numFmtId="2" fontId="17" fillId="3" borderId="0" xfId="0" applyNumberFormat="1" applyFont="1" applyFill="1"/>
    <xf numFmtId="2" fontId="3" fillId="3" borderId="0" xfId="0" applyNumberFormat="1" applyFont="1" applyFill="1"/>
    <xf numFmtId="0" fontId="17" fillId="3" borderId="0" xfId="0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2" fontId="0" fillId="3" borderId="17" xfId="0" applyNumberForma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1" fontId="0" fillId="0" borderId="5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20" fontId="17" fillId="3" borderId="0" xfId="0" applyNumberFormat="1" applyFont="1" applyFill="1"/>
    <xf numFmtId="0" fontId="7" fillId="0" borderId="2" xfId="0" applyFont="1" applyBorder="1" applyAlignment="1">
      <alignment horizontal="center" vertical="center"/>
    </xf>
    <xf numFmtId="2" fontId="0" fillId="0" borderId="24" xfId="3" applyNumberFormat="1" applyFont="1" applyFill="1" applyBorder="1" applyAlignment="1" applyProtection="1">
      <alignment horizontal="center"/>
    </xf>
    <xf numFmtId="0" fontId="7" fillId="3" borderId="0" xfId="0" applyFont="1" applyFill="1" applyAlignment="1">
      <alignment horizontal="center" vertical="center"/>
    </xf>
    <xf numFmtId="2" fontId="0" fillId="3" borderId="0" xfId="3" applyNumberFormat="1" applyFont="1" applyFill="1" applyBorder="1" applyAlignment="1" applyProtection="1">
      <alignment horizontal="center"/>
    </xf>
    <xf numFmtId="0" fontId="4" fillId="5" borderId="26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right"/>
    </xf>
    <xf numFmtId="0" fontId="43" fillId="3" borderId="0" xfId="0" applyFont="1" applyFill="1"/>
    <xf numFmtId="0" fontId="0" fillId="5" borderId="27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36" fillId="0" borderId="1" xfId="0" applyNumberFormat="1" applyFont="1" applyBorder="1" applyAlignment="1">
      <alignment horizontal="center" vertical="center"/>
    </xf>
    <xf numFmtId="166" fontId="36" fillId="0" borderId="31" xfId="0" applyNumberFormat="1" applyFont="1" applyBorder="1" applyAlignment="1">
      <alignment horizontal="center" vertical="center"/>
    </xf>
    <xf numFmtId="0" fontId="0" fillId="5" borderId="28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36" fillId="0" borderId="2" xfId="0" applyNumberFormat="1" applyFont="1" applyBorder="1" applyAlignment="1">
      <alignment horizontal="center" vertical="center"/>
    </xf>
    <xf numFmtId="0" fontId="4" fillId="3" borderId="0" xfId="0" applyFont="1" applyFill="1"/>
    <xf numFmtId="0" fontId="32" fillId="3" borderId="0" xfId="0" applyFont="1" applyFill="1"/>
    <xf numFmtId="0" fontId="0" fillId="0" borderId="0" xfId="0" applyAlignment="1">
      <alignment wrapText="1"/>
    </xf>
    <xf numFmtId="0" fontId="27" fillId="0" borderId="0" xfId="0" applyFont="1"/>
    <xf numFmtId="0" fontId="27" fillId="3" borderId="0" xfId="0" applyFont="1" applyFill="1" applyProtection="1"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2" xfId="0" applyFont="1" applyFill="1" applyBorder="1" applyAlignment="1" applyProtection="1">
      <alignment horizontal="center"/>
      <protection locked="0"/>
    </xf>
    <xf numFmtId="167" fontId="0" fillId="0" borderId="0" xfId="0" applyNumberFormat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167" fontId="0" fillId="3" borderId="0" xfId="0" applyNumberFormat="1" applyFill="1" applyAlignment="1">
      <alignment horizontal="center" vertical="center"/>
    </xf>
    <xf numFmtId="0" fontId="10" fillId="7" borderId="21" xfId="0" applyFont="1" applyFill="1" applyBorder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right"/>
    </xf>
    <xf numFmtId="2" fontId="3" fillId="3" borderId="31" xfId="0" applyNumberFormat="1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right"/>
    </xf>
    <xf numFmtId="166" fontId="3" fillId="3" borderId="4" xfId="0" applyNumberFormat="1" applyFont="1" applyFill="1" applyBorder="1" applyAlignment="1">
      <alignment horizontal="center" vertical="center"/>
    </xf>
    <xf numFmtId="0" fontId="7" fillId="8" borderId="21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7" fontId="0" fillId="0" borderId="21" xfId="0" applyNumberFormat="1" applyBorder="1" applyAlignment="1">
      <alignment horizontal="center" vertical="center"/>
    </xf>
    <xf numFmtId="166" fontId="0" fillId="0" borderId="31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7" fillId="3" borderId="0" xfId="0" applyFont="1" applyFill="1"/>
    <xf numFmtId="0" fontId="0" fillId="3" borderId="0" xfId="0" applyFill="1" applyAlignment="1" applyProtection="1">
      <alignment vertical="center"/>
      <protection locked="0"/>
    </xf>
    <xf numFmtId="0" fontId="26" fillId="8" borderId="19" xfId="0" applyFont="1" applyFill="1" applyBorder="1" applyAlignment="1">
      <alignment horizontal="center"/>
    </xf>
    <xf numFmtId="0" fontId="26" fillId="8" borderId="21" xfId="0" applyFont="1" applyFill="1" applyBorder="1" applyAlignment="1">
      <alignment horizontal="center"/>
    </xf>
    <xf numFmtId="49" fontId="0" fillId="0" borderId="19" xfId="0" applyNumberFormat="1" applyBorder="1" applyAlignment="1" applyProtection="1">
      <alignment horizontal="left" vertical="top" wrapText="1"/>
      <protection locked="0"/>
    </xf>
    <xf numFmtId="49" fontId="0" fillId="0" borderId="21" xfId="0" applyNumberFormat="1" applyBorder="1" applyAlignment="1" applyProtection="1">
      <alignment horizontal="left" vertical="top"/>
      <protection locked="0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3" borderId="11" xfId="0" applyFont="1" applyFill="1" applyBorder="1" applyAlignment="1" applyProtection="1">
      <alignment vertical="top" wrapText="1"/>
      <protection locked="0"/>
    </xf>
    <xf numFmtId="0" fontId="4" fillId="3" borderId="12" xfId="0" applyFont="1" applyFill="1" applyBorder="1" applyAlignment="1" applyProtection="1">
      <alignment vertical="top" wrapText="1"/>
      <protection locked="0"/>
    </xf>
    <xf numFmtId="0" fontId="4" fillId="3" borderId="13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0" fontId="4" fillId="3" borderId="15" xfId="0" applyFont="1" applyFill="1" applyBorder="1" applyAlignment="1" applyProtection="1">
      <alignment vertical="top" wrapText="1"/>
      <protection locked="0"/>
    </xf>
    <xf numFmtId="0" fontId="4" fillId="3" borderId="16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16" fillId="14" borderId="1" xfId="0" applyFont="1" applyFill="1" applyBorder="1" applyAlignment="1" applyProtection="1">
      <alignment horizontal="center" vertical="center" wrapText="1"/>
      <protection locked="0"/>
    </xf>
    <xf numFmtId="0" fontId="16" fillId="14" borderId="31" xfId="0" applyFont="1" applyFill="1" applyBorder="1" applyAlignment="1" applyProtection="1">
      <alignment horizontal="center" vertical="center" wrapText="1"/>
      <protection locked="0"/>
    </xf>
    <xf numFmtId="0" fontId="0" fillId="15" borderId="28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165" fontId="38" fillId="14" borderId="2" xfId="1" applyNumberFormat="1" applyFont="1" applyFill="1" applyBorder="1" applyAlignment="1" applyProtection="1">
      <alignment horizontal="center" vertical="center"/>
      <protection locked="0"/>
    </xf>
    <xf numFmtId="0" fontId="16" fillId="14" borderId="2" xfId="0" applyFont="1" applyFill="1" applyBorder="1" applyAlignment="1" applyProtection="1">
      <alignment horizontal="center" vertical="center" wrapText="1"/>
      <protection locked="0"/>
    </xf>
    <xf numFmtId="0" fontId="16" fillId="14" borderId="4" xfId="0" applyFont="1" applyFill="1" applyBorder="1" applyAlignment="1" applyProtection="1">
      <alignment horizontal="center" vertical="center" wrapText="1"/>
      <protection locked="0"/>
    </xf>
    <xf numFmtId="0" fontId="0" fillId="15" borderId="27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165" fontId="38" fillId="14" borderId="1" xfId="1" applyNumberFormat="1" applyFont="1" applyFill="1" applyBorder="1" applyAlignment="1" applyProtection="1">
      <alignment horizontal="center" vertical="center"/>
      <protection locked="0"/>
    </xf>
    <xf numFmtId="0" fontId="34" fillId="9" borderId="19" xfId="0" applyFont="1" applyFill="1" applyBorder="1" applyAlignment="1">
      <alignment horizontal="center" vertical="center"/>
    </xf>
    <xf numFmtId="0" fontId="34" fillId="9" borderId="20" xfId="0" applyFont="1" applyFill="1" applyBorder="1" applyAlignment="1">
      <alignment horizontal="center" vertical="center"/>
    </xf>
    <xf numFmtId="0" fontId="34" fillId="9" borderId="21" xfId="0" applyFont="1" applyFill="1" applyBorder="1" applyAlignment="1">
      <alignment horizontal="center" vertical="center"/>
    </xf>
    <xf numFmtId="0" fontId="18" fillId="13" borderId="27" xfId="0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/>
    </xf>
    <xf numFmtId="0" fontId="20" fillId="9" borderId="11" xfId="0" applyFont="1" applyFill="1" applyBorder="1" applyAlignment="1">
      <alignment horizontal="center" vertical="center"/>
    </xf>
    <xf numFmtId="0" fontId="20" fillId="9" borderId="12" xfId="0" applyFont="1" applyFill="1" applyBorder="1" applyAlignment="1">
      <alignment horizontal="center" vertical="center"/>
    </xf>
    <xf numFmtId="0" fontId="20" fillId="9" borderId="13" xfId="0" applyFont="1" applyFill="1" applyBorder="1" applyAlignment="1">
      <alignment horizontal="center" vertical="center"/>
    </xf>
    <xf numFmtId="0" fontId="20" fillId="9" borderId="16" xfId="0" applyFont="1" applyFill="1" applyBorder="1" applyAlignment="1">
      <alignment horizontal="center" vertical="center"/>
    </xf>
    <xf numFmtId="0" fontId="20" fillId="9" borderId="17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5" fillId="3" borderId="0" xfId="0" applyFont="1" applyFill="1" applyAlignment="1" applyProtection="1">
      <alignment horizontal="left" vertical="center"/>
      <protection locked="0"/>
    </xf>
    <xf numFmtId="15" fontId="15" fillId="3" borderId="0" xfId="0" applyNumberFormat="1" applyFont="1" applyFill="1" applyAlignment="1" applyProtection="1">
      <alignment horizontal="left" vertical="center"/>
      <protection locked="0"/>
    </xf>
    <xf numFmtId="17" fontId="15" fillId="3" borderId="0" xfId="0" applyNumberFormat="1" applyFont="1" applyFill="1" applyAlignment="1" applyProtection="1">
      <alignment horizontal="left" vertical="center"/>
      <protection locked="0"/>
    </xf>
    <xf numFmtId="0" fontId="18" fillId="13" borderId="25" xfId="0" applyFont="1" applyFill="1" applyBorder="1" applyAlignment="1">
      <alignment horizontal="center" vertical="center"/>
    </xf>
    <xf numFmtId="0" fontId="18" fillId="13" borderId="3" xfId="0" applyFont="1" applyFill="1" applyBorder="1" applyAlignment="1">
      <alignment horizontal="center" vertical="center"/>
    </xf>
    <xf numFmtId="165" fontId="38" fillId="14" borderId="3" xfId="1" applyNumberFormat="1" applyFont="1" applyFill="1" applyBorder="1" applyAlignment="1" applyProtection="1">
      <alignment horizontal="center" vertical="center"/>
      <protection locked="0"/>
    </xf>
    <xf numFmtId="0" fontId="16" fillId="14" borderId="3" xfId="0" applyFont="1" applyFill="1" applyBorder="1" applyAlignment="1" applyProtection="1">
      <alignment horizontal="center" vertical="center" wrapText="1"/>
      <protection locked="0"/>
    </xf>
    <xf numFmtId="0" fontId="16" fillId="14" borderId="5" xfId="0" applyFont="1" applyFill="1" applyBorder="1" applyAlignment="1" applyProtection="1">
      <alignment horizontal="center" vertical="center" wrapText="1"/>
      <protection locked="0"/>
    </xf>
    <xf numFmtId="0" fontId="9" fillId="8" borderId="19" xfId="0" applyFont="1" applyFill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9" fillId="8" borderId="21" xfId="0" applyFont="1" applyFill="1" applyBorder="1" applyAlignment="1">
      <alignment horizontal="center"/>
    </xf>
    <xf numFmtId="0" fontId="24" fillId="12" borderId="11" xfId="0" applyFont="1" applyFill="1" applyBorder="1" applyAlignment="1">
      <alignment horizontal="center" vertical="center"/>
    </xf>
    <xf numFmtId="0" fontId="24" fillId="12" borderId="12" xfId="0" applyFont="1" applyFill="1" applyBorder="1" applyAlignment="1">
      <alignment horizontal="center" vertical="center"/>
    </xf>
    <xf numFmtId="0" fontId="24" fillId="12" borderId="13" xfId="0" applyFont="1" applyFill="1" applyBorder="1" applyAlignment="1">
      <alignment horizontal="center" vertical="center"/>
    </xf>
    <xf numFmtId="0" fontId="24" fillId="12" borderId="14" xfId="0" applyFont="1" applyFill="1" applyBorder="1" applyAlignment="1">
      <alignment horizontal="center" vertical="center"/>
    </xf>
    <xf numFmtId="0" fontId="24" fillId="12" borderId="0" xfId="0" applyFont="1" applyFill="1" applyAlignment="1">
      <alignment horizontal="center" vertical="center"/>
    </xf>
    <xf numFmtId="0" fontId="24" fillId="12" borderId="15" xfId="0" applyFont="1" applyFill="1" applyBorder="1" applyAlignment="1">
      <alignment horizontal="center" vertical="center"/>
    </xf>
    <xf numFmtId="167" fontId="3" fillId="0" borderId="26" xfId="0" applyNumberFormat="1" applyFont="1" applyBorder="1" applyAlignment="1">
      <alignment horizontal="center" vertical="center"/>
    </xf>
    <xf numFmtId="167" fontId="3" fillId="0" borderId="22" xfId="0" applyNumberFormat="1" applyFont="1" applyBorder="1" applyAlignment="1">
      <alignment horizontal="center" vertical="center"/>
    </xf>
    <xf numFmtId="167" fontId="3" fillId="0" borderId="27" xfId="0" applyNumberFormat="1" applyFont="1" applyBorder="1" applyAlignment="1">
      <alignment horizontal="center" vertical="center"/>
    </xf>
    <xf numFmtId="167" fontId="3" fillId="0" borderId="31" xfId="0" applyNumberFormat="1" applyFont="1" applyBorder="1" applyAlignment="1">
      <alignment horizontal="center" vertical="center"/>
    </xf>
    <xf numFmtId="167" fontId="3" fillId="0" borderId="28" xfId="0" applyNumberFormat="1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9" fillId="8" borderId="26" xfId="0" applyFont="1" applyFill="1" applyBorder="1" applyAlignment="1">
      <alignment horizontal="center" vertical="center" wrapText="1"/>
    </xf>
    <xf numFmtId="0" fontId="39" fillId="8" borderId="22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/>
    </xf>
    <xf numFmtId="17" fontId="15" fillId="3" borderId="0" xfId="0" applyNumberFormat="1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horizontal="center" vertical="center"/>
      <protection locked="0"/>
    </xf>
    <xf numFmtId="0" fontId="10" fillId="11" borderId="19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</cellXfs>
  <cellStyles count="4">
    <cellStyle name="Milliers" xfId="3" builtinId="3"/>
    <cellStyle name="Normal" xfId="0" builtinId="0"/>
    <cellStyle name="Normal 2" xfId="1" xr:uid="{00000000-0005-0000-0000-000002000000}"/>
    <cellStyle name="Pourcentage 2" xfId="2" xr:uid="{00000000-0005-0000-0000-000003000000}"/>
  </cellStyles>
  <dxfs count="18">
    <dxf>
      <font>
        <color theme="9"/>
      </font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color theme="9"/>
      </font>
    </dxf>
    <dxf>
      <font>
        <b/>
        <i val="0"/>
        <color rgb="FFFF0000"/>
      </font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color theme="9"/>
      </font>
    </dxf>
    <dxf>
      <font>
        <b/>
        <i val="0"/>
        <color rgb="FFFF0000"/>
      </font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color theme="9"/>
      </font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color theme="9"/>
      </font>
    </dxf>
    <dxf>
      <font>
        <b/>
        <i val="0"/>
        <color rgb="FFFF0000"/>
      </font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D6FFC1"/>
      <color rgb="FFFFFF99"/>
      <color rgb="FFA7FFFF"/>
      <color rgb="FFFFFF93"/>
      <color rgb="FFFFFF97"/>
      <color rgb="FFB2FF8B"/>
      <color rgb="FFA8FF7D"/>
      <color rgb="FF9BFF69"/>
      <color rgb="FFFFFF5D"/>
      <color rgb="FFFFFF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1400"/>
              <a:t>Courbe Standard </a:t>
            </a:r>
            <a:r>
              <a:rPr lang="fr-FR" sz="1400" baseline="0"/>
              <a:t>(analysis range)</a:t>
            </a:r>
            <a:endParaRPr lang="fr-FR" sz="1400"/>
          </a:p>
          <a:p>
            <a:pPr>
              <a:defRPr/>
            </a:pPr>
            <a:r>
              <a:rPr lang="fr-FR" sz="1400">
                <a:solidFill>
                  <a:schemeClr val="tx1"/>
                </a:solidFill>
              </a:rPr>
              <a:t>y = Ax</a:t>
            </a:r>
            <a:r>
              <a:rPr lang="fr-FR" sz="1400" baseline="30000">
                <a:solidFill>
                  <a:schemeClr val="tx1"/>
                </a:solidFill>
              </a:rPr>
              <a:t>2</a:t>
            </a:r>
            <a:r>
              <a:rPr lang="fr-FR" sz="1400">
                <a:solidFill>
                  <a:schemeClr val="tx1"/>
                </a:solidFill>
              </a:rPr>
              <a:t>+Bx+C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Résultats!$AH$19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trendline>
            <c:trendlineType val="poly"/>
            <c:order val="2"/>
            <c:dispRSqr val="0"/>
            <c:dispEq val="0"/>
          </c:trendline>
          <c:trendline>
            <c:trendlineType val="poly"/>
            <c:order val="2"/>
            <c:dispRSqr val="1"/>
            <c:dispEq val="1"/>
            <c:trendlineLbl>
              <c:layout>
                <c:manualLayout>
                  <c:x val="-0.2969146262791123"/>
                  <c:y val="5.152853678373974E-2"/>
                </c:manualLayout>
              </c:layout>
              <c:numFmt formatCode="General" sourceLinked="0"/>
            </c:trendlineLbl>
          </c:trendline>
          <c:xVal>
            <c:numRef>
              <c:f>Résultats!$AH$20:$AH$26</c:f>
              <c:numCache>
                <c:formatCode>General</c:formatCode>
                <c:ptCount val="7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  <c:pt idx="6">
                  <c:v>0</c:v>
                </c:pt>
              </c:numCache>
            </c:numRef>
          </c:xVal>
          <c:yVal>
            <c:numRef>
              <c:f>Résultats!$AK$20:$AK$26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E2-43DF-850A-7A575DD79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6015520"/>
        <c:axId val="-2146013344"/>
      </c:scatterChart>
      <c:valAx>
        <c:axId val="-2146015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Concentration (pg/mL)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crossAx val="-2146013344"/>
        <c:crosses val="autoZero"/>
        <c:crossBetween val="midCat"/>
      </c:valAx>
      <c:valAx>
        <c:axId val="-21460133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Absorbance (AU)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crossAx val="-214601552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710774</xdr:colOff>
      <xdr:row>17</xdr:row>
      <xdr:rowOff>107799</xdr:rowOff>
    </xdr:from>
    <xdr:to>
      <xdr:col>12</xdr:col>
      <xdr:colOff>123029</xdr:colOff>
      <xdr:row>33</xdr:row>
      <xdr:rowOff>75406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AB92"/>
  <sheetViews>
    <sheetView tabSelected="1" view="pageLayout" zoomScaleNormal="100" workbookViewId="0"/>
  </sheetViews>
  <sheetFormatPr baseColWidth="10" defaultColWidth="11.44140625" defaultRowHeight="14.4" x14ac:dyDescent="0.3"/>
  <cols>
    <col min="1" max="1" width="41.44140625" bestFit="1" customWidth="1"/>
    <col min="2" max="2" width="52.6640625" customWidth="1"/>
    <col min="3" max="28" width="11.44140625" style="1"/>
  </cols>
  <sheetData>
    <row r="1" spans="1:28" ht="15" thickBot="1" x14ac:dyDescent="0.35">
      <c r="A1" s="138" t="s">
        <v>129</v>
      </c>
      <c r="B1" s="1"/>
    </row>
    <row r="2" spans="1:28" ht="37.200000000000003" thickBot="1" x14ac:dyDescent="0.75">
      <c r="A2" s="140" t="s">
        <v>0</v>
      </c>
      <c r="B2" s="14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8" ht="15" thickBot="1" x14ac:dyDescent="0.35">
      <c r="A3" s="1"/>
      <c r="B3" s="1"/>
    </row>
    <row r="4" spans="1:28" s="3" customFormat="1" ht="20.100000000000001" customHeight="1" x14ac:dyDescent="0.3">
      <c r="A4" s="11" t="s">
        <v>1</v>
      </c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3" customFormat="1" ht="20.100000000000001" customHeight="1" x14ac:dyDescent="0.3">
      <c r="A5" s="14" t="s">
        <v>2</v>
      </c>
      <c r="B5" s="1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s="3" customFormat="1" ht="20.100000000000001" customHeight="1" x14ac:dyDescent="0.3">
      <c r="A6" s="13" t="s">
        <v>3</v>
      </c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s="3" customFormat="1" ht="20.100000000000001" customHeight="1" x14ac:dyDescent="0.3">
      <c r="A7" s="14" t="s">
        <v>4</v>
      </c>
      <c r="B7" s="1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s="3" customFormat="1" ht="20.100000000000001" customHeight="1" x14ac:dyDescent="0.3">
      <c r="A8" s="12" t="s">
        <v>5</v>
      </c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s="3" customFormat="1" ht="20.100000000000001" customHeight="1" x14ac:dyDescent="0.3">
      <c r="A9" s="14" t="s">
        <v>6</v>
      </c>
      <c r="B9" s="1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s="3" customFormat="1" ht="20.100000000000001" customHeight="1" x14ac:dyDescent="0.3">
      <c r="A10" s="12" t="s">
        <v>7</v>
      </c>
      <c r="B10" s="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s="3" customFormat="1" ht="20.100000000000001" customHeight="1" x14ac:dyDescent="0.3">
      <c r="A11" s="14" t="s">
        <v>8</v>
      </c>
      <c r="B11" s="1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s="3" customFormat="1" ht="20.100000000000001" customHeight="1" x14ac:dyDescent="0.3">
      <c r="A12" s="12" t="s">
        <v>9</v>
      </c>
      <c r="B12" s="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s="3" customFormat="1" ht="20.100000000000001" customHeight="1" x14ac:dyDescent="0.3">
      <c r="A13" s="14" t="s">
        <v>10</v>
      </c>
      <c r="B13" s="1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s="3" customFormat="1" ht="20.100000000000001" customHeight="1" x14ac:dyDescent="0.3">
      <c r="A14" s="12" t="s">
        <v>11</v>
      </c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s="3" customFormat="1" ht="20.100000000000001" customHeight="1" x14ac:dyDescent="0.3">
      <c r="A15" s="14" t="s">
        <v>12</v>
      </c>
      <c r="B15" s="1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s="3" customFormat="1" ht="20.100000000000001" customHeight="1" x14ac:dyDescent="0.3">
      <c r="A16" s="10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s="3" customFormat="1" ht="20.100000000000001" customHeight="1" x14ac:dyDescent="0.3">
      <c r="A17" s="16"/>
      <c r="B17" s="1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s="3" customFormat="1" ht="20.100000000000001" customHeight="1" x14ac:dyDescent="0.3">
      <c r="A18" s="10"/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s="3" customFormat="1" ht="20.100000000000001" customHeight="1" x14ac:dyDescent="0.3">
      <c r="A19" s="16"/>
      <c r="B19" s="1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s="3" customFormat="1" ht="20.100000000000001" customHeight="1" x14ac:dyDescent="0.3">
      <c r="A20" s="10"/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s="3" customFormat="1" ht="20.100000000000001" customHeight="1" thickBot="1" x14ac:dyDescent="0.35">
      <c r="A21" s="18"/>
      <c r="B21" s="1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s="3" customFormat="1" ht="20.100000000000001" customHeight="1" thickBot="1" x14ac:dyDescent="0.35">
      <c r="A22" s="144" t="s">
        <v>13</v>
      </c>
      <c r="B22" s="14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88.75" customHeight="1" thickBot="1" x14ac:dyDescent="0.35">
      <c r="A23" s="142" t="s">
        <v>14</v>
      </c>
      <c r="B23" s="143"/>
    </row>
    <row r="24" spans="1:28" x14ac:dyDescent="0.3">
      <c r="A24" s="1"/>
      <c r="B24" s="6" t="s">
        <v>15</v>
      </c>
    </row>
    <row r="25" spans="1:28" x14ac:dyDescent="0.3">
      <c r="A25" s="1"/>
      <c r="B25" s="1"/>
    </row>
    <row r="26" spans="1:28" x14ac:dyDescent="0.3">
      <c r="A26" s="1"/>
      <c r="B26" s="1"/>
    </row>
    <row r="27" spans="1:28" x14ac:dyDescent="0.3">
      <c r="A27" s="1"/>
      <c r="B27" s="1"/>
    </row>
    <row r="28" spans="1:28" x14ac:dyDescent="0.3">
      <c r="A28" s="1"/>
      <c r="B28" s="1"/>
    </row>
    <row r="29" spans="1:28" x14ac:dyDescent="0.3">
      <c r="A29" s="1"/>
      <c r="B29" s="1"/>
    </row>
    <row r="30" spans="1:28" x14ac:dyDescent="0.3">
      <c r="A30" s="1"/>
      <c r="B30" s="1"/>
    </row>
    <row r="31" spans="1:28" x14ac:dyDescent="0.3">
      <c r="A31" s="1"/>
      <c r="B31" s="1"/>
    </row>
    <row r="32" spans="1:28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  <row r="77" spans="1:2" x14ac:dyDescent="0.3">
      <c r="A77" s="1"/>
      <c r="B77" s="1"/>
    </row>
    <row r="78" spans="1:2" x14ac:dyDescent="0.3">
      <c r="A78" s="1"/>
      <c r="B78" s="1"/>
    </row>
    <row r="79" spans="1:2" x14ac:dyDescent="0.3">
      <c r="A79" s="1"/>
      <c r="B79" s="1"/>
    </row>
    <row r="80" spans="1:2" x14ac:dyDescent="0.3">
      <c r="A80" s="1"/>
      <c r="B80" s="1"/>
    </row>
    <row r="81" spans="1:2" x14ac:dyDescent="0.3">
      <c r="A81" s="1"/>
      <c r="B81" s="1"/>
    </row>
    <row r="82" spans="1:2" x14ac:dyDescent="0.3">
      <c r="A82" s="1"/>
      <c r="B82" s="1"/>
    </row>
    <row r="83" spans="1:2" x14ac:dyDescent="0.3">
      <c r="A83" s="1"/>
      <c r="B83" s="1"/>
    </row>
    <row r="84" spans="1:2" x14ac:dyDescent="0.3">
      <c r="A84" s="1"/>
      <c r="B84" s="1"/>
    </row>
    <row r="85" spans="1:2" x14ac:dyDescent="0.3">
      <c r="A85" s="1"/>
      <c r="B85" s="1"/>
    </row>
    <row r="86" spans="1:2" x14ac:dyDescent="0.3">
      <c r="A86" s="1"/>
      <c r="B86" s="1"/>
    </row>
    <row r="87" spans="1:2" x14ac:dyDescent="0.3">
      <c r="A87" s="1"/>
      <c r="B87" s="1"/>
    </row>
    <row r="88" spans="1:2" x14ac:dyDescent="0.3">
      <c r="A88" s="1"/>
      <c r="B88" s="1"/>
    </row>
    <row r="89" spans="1:2" x14ac:dyDescent="0.3">
      <c r="A89" s="1"/>
      <c r="B89" s="1"/>
    </row>
    <row r="90" spans="1:2" x14ac:dyDescent="0.3">
      <c r="A90" s="1"/>
      <c r="B90" s="1"/>
    </row>
    <row r="91" spans="1:2" x14ac:dyDescent="0.3">
      <c r="A91" s="1"/>
      <c r="B91" s="1"/>
    </row>
    <row r="92" spans="1:2" x14ac:dyDescent="0.3">
      <c r="A92" s="1"/>
      <c r="B92" s="1"/>
    </row>
  </sheetData>
  <sheetProtection formatCells="0" formatColumns="0" formatRows="0" insertColumns="0" insertRows="0" insertHyperlinks="0" deleteColumns="0" deleteRows="0" selectLockedCells="1" sort="0" autoFilter="0"/>
  <mergeCells count="3">
    <mergeCell ref="A2:B2"/>
    <mergeCell ref="A23:B23"/>
    <mergeCell ref="A22:B22"/>
  </mergeCells>
  <pageMargins left="0.51" right="0.28999999999999998" top="0.65" bottom="0.3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  <pageSetUpPr fitToPage="1"/>
  </sheetPr>
  <dimension ref="A1:AP92"/>
  <sheetViews>
    <sheetView view="pageLayout" topLeftCell="A47" zoomScaleNormal="70" workbookViewId="0">
      <selection activeCell="B49" sqref="B49:N63"/>
    </sheetView>
  </sheetViews>
  <sheetFormatPr baseColWidth="10" defaultColWidth="9.33203125" defaultRowHeight="14.4" x14ac:dyDescent="0.3"/>
  <cols>
    <col min="1" max="1" width="1.6640625" customWidth="1"/>
    <col min="2" max="4" width="12.6640625" customWidth="1"/>
    <col min="5" max="5" width="14.5546875" customWidth="1"/>
    <col min="6" max="6" width="11" customWidth="1"/>
    <col min="7" max="7" width="16.33203125" customWidth="1"/>
    <col min="8" max="11" width="12.6640625" customWidth="1"/>
    <col min="12" max="12" width="14.5546875" customWidth="1"/>
    <col min="13" max="13" width="13.33203125" customWidth="1"/>
    <col min="14" max="14" width="12.6640625" customWidth="1"/>
    <col min="15" max="15" width="3.44140625" customWidth="1"/>
    <col min="16" max="16" width="1.33203125" style="1" customWidth="1"/>
    <col min="17" max="42" width="9.33203125" style="1"/>
  </cols>
  <sheetData>
    <row r="1" spans="1:42" s="1" customFormat="1" ht="15" thickBot="1" x14ac:dyDescent="0.35"/>
    <row r="2" spans="1:42" s="1" customFormat="1" ht="37.200000000000003" thickBot="1" x14ac:dyDescent="0.75">
      <c r="B2" s="196" t="s">
        <v>0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8"/>
      <c r="P2" s="21"/>
    </row>
    <row r="3" spans="1:4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4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42" ht="20.100000000000001" customHeight="1" x14ac:dyDescent="0.3">
      <c r="A5" s="1"/>
      <c r="B5" s="22" t="s">
        <v>16</v>
      </c>
      <c r="C5" s="1"/>
      <c r="D5" s="188" t="s">
        <v>17</v>
      </c>
      <c r="E5" s="188"/>
      <c r="F5" s="188"/>
      <c r="G5" s="46"/>
      <c r="H5" s="4"/>
      <c r="I5" s="4"/>
      <c r="J5" s="4"/>
      <c r="K5" s="4"/>
      <c r="L5" s="22" t="s">
        <v>18</v>
      </c>
      <c r="M5" s="190" t="s">
        <v>19</v>
      </c>
      <c r="N5" s="188"/>
      <c r="O5" s="4"/>
      <c r="P5" s="4"/>
      <c r="Q5" s="4"/>
      <c r="R5" s="4"/>
      <c r="S5" s="4"/>
      <c r="T5" s="4"/>
      <c r="U5" s="4"/>
      <c r="V5" s="4"/>
      <c r="W5" s="4"/>
    </row>
    <row r="6" spans="1:42" ht="20.100000000000001" customHeight="1" x14ac:dyDescent="0.3">
      <c r="A6" s="1"/>
      <c r="B6" s="22" t="s">
        <v>20</v>
      </c>
      <c r="C6" s="23"/>
      <c r="D6" s="189" t="s">
        <v>17</v>
      </c>
      <c r="E6" s="188"/>
      <c r="F6" s="188"/>
      <c r="G6" s="4"/>
      <c r="H6" s="4"/>
      <c r="I6" s="4"/>
      <c r="J6" s="4"/>
      <c r="K6" s="4"/>
      <c r="L6" s="22" t="s">
        <v>21</v>
      </c>
      <c r="M6" s="190" t="s">
        <v>19</v>
      </c>
      <c r="N6" s="188"/>
      <c r="O6" s="47"/>
      <c r="P6" s="4"/>
      <c r="Q6" s="4"/>
      <c r="R6" s="4"/>
      <c r="S6" s="4"/>
      <c r="T6" s="4"/>
      <c r="U6" s="4"/>
      <c r="V6" s="4"/>
      <c r="W6" s="4"/>
    </row>
    <row r="7" spans="1:42" ht="20.100000000000001" customHeight="1" x14ac:dyDescent="0.3">
      <c r="A7" s="1"/>
      <c r="B7" s="22" t="s">
        <v>22</v>
      </c>
      <c r="C7" s="1"/>
      <c r="D7" s="188" t="s">
        <v>17</v>
      </c>
      <c r="E7" s="188"/>
      <c r="F7" s="188"/>
      <c r="G7" s="4"/>
      <c r="H7" s="4"/>
      <c r="I7" s="4"/>
      <c r="J7" s="4"/>
      <c r="K7" s="4"/>
      <c r="L7" s="1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42" ht="20.100000000000001" customHeight="1" x14ac:dyDescent="0.3">
      <c r="A8" s="1"/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4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4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42" ht="15" thickBo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42" x14ac:dyDescent="0.3">
      <c r="A12" s="1"/>
      <c r="B12" s="176" t="s">
        <v>23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8"/>
      <c r="O12" s="1"/>
    </row>
    <row r="13" spans="1:42" ht="15" thickBot="1" x14ac:dyDescent="0.35">
      <c r="A13" s="1"/>
      <c r="B13" s="179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1"/>
      <c r="O13" s="1"/>
    </row>
    <row r="14" spans="1:4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42" ht="15" thickBot="1" x14ac:dyDescent="0.35">
      <c r="A15" s="25"/>
      <c r="B15" s="25"/>
      <c r="C15" s="25"/>
      <c r="D15" s="25"/>
      <c r="E15" s="25"/>
      <c r="F15" s="25"/>
      <c r="G15" s="1"/>
      <c r="H15" s="1"/>
      <c r="I15" s="1"/>
      <c r="J15" s="1"/>
      <c r="K15" s="26"/>
      <c r="L15" s="1"/>
      <c r="M15" s="1"/>
      <c r="N15" s="1"/>
      <c r="O15" s="1"/>
    </row>
    <row r="16" spans="1:42" s="3" customFormat="1" ht="26.25" customHeight="1" thickBot="1" x14ac:dyDescent="0.35">
      <c r="A16" s="2"/>
      <c r="B16" s="2"/>
      <c r="C16" s="185" t="s">
        <v>24</v>
      </c>
      <c r="D16" s="186"/>
      <c r="E16" s="187"/>
      <c r="F16" s="182" t="s">
        <v>25</v>
      </c>
      <c r="G16" s="183"/>
      <c r="H16" s="183"/>
      <c r="I16" s="183"/>
      <c r="J16" s="183"/>
      <c r="K16" s="183"/>
      <c r="L16" s="183"/>
      <c r="M16" s="183"/>
      <c r="N16" s="18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16.2" thickBot="1" x14ac:dyDescent="0.35">
      <c r="A17" s="1"/>
      <c r="B17" s="1"/>
      <c r="C17" s="27">
        <v>1</v>
      </c>
      <c r="D17" s="28">
        <v>2</v>
      </c>
      <c r="E17" s="27">
        <v>3</v>
      </c>
      <c r="F17" s="27">
        <v>4</v>
      </c>
      <c r="G17" s="29">
        <v>5</v>
      </c>
      <c r="H17" s="30">
        <v>6</v>
      </c>
      <c r="I17" s="27">
        <v>7</v>
      </c>
      <c r="J17" s="27">
        <v>8</v>
      </c>
      <c r="K17" s="27">
        <v>9</v>
      </c>
      <c r="L17" s="29">
        <v>10</v>
      </c>
      <c r="M17" s="27">
        <v>11</v>
      </c>
      <c r="N17" s="28">
        <v>12</v>
      </c>
      <c r="O17" s="1"/>
    </row>
    <row r="18" spans="1:42" s="34" customFormat="1" ht="30" customHeight="1" x14ac:dyDescent="0.3">
      <c r="A18" s="31"/>
      <c r="B18" s="32" t="s">
        <v>26</v>
      </c>
      <c r="C18" s="191" t="s">
        <v>113</v>
      </c>
      <c r="D18" s="192"/>
      <c r="E18" s="193" t="s">
        <v>27</v>
      </c>
      <c r="F18" s="193"/>
      <c r="G18" s="194" t="s">
        <v>28</v>
      </c>
      <c r="H18" s="194"/>
      <c r="I18" s="194" t="s">
        <v>29</v>
      </c>
      <c r="J18" s="194"/>
      <c r="K18" s="194" t="s">
        <v>30</v>
      </c>
      <c r="L18" s="194"/>
      <c r="M18" s="194" t="s">
        <v>31</v>
      </c>
      <c r="N18" s="195"/>
      <c r="O18" s="33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</row>
    <row r="19" spans="1:42" s="34" customFormat="1" ht="30" customHeight="1" thickBot="1" x14ac:dyDescent="0.35">
      <c r="A19" s="31"/>
      <c r="B19" s="35" t="s">
        <v>32</v>
      </c>
      <c r="C19" s="168" t="s">
        <v>114</v>
      </c>
      <c r="D19" s="169"/>
      <c r="E19" s="164" t="s">
        <v>33</v>
      </c>
      <c r="F19" s="164"/>
      <c r="G19" s="155" t="s">
        <v>34</v>
      </c>
      <c r="H19" s="155"/>
      <c r="I19" s="155" t="s">
        <v>35</v>
      </c>
      <c r="J19" s="155"/>
      <c r="K19" s="155" t="s">
        <v>36</v>
      </c>
      <c r="L19" s="155"/>
      <c r="M19" s="155" t="s">
        <v>37</v>
      </c>
      <c r="N19" s="156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</row>
    <row r="20" spans="1:42" s="34" customFormat="1" ht="30" customHeight="1" x14ac:dyDescent="0.3">
      <c r="A20" s="31"/>
      <c r="B20" s="36" t="s">
        <v>38</v>
      </c>
      <c r="C20" s="168" t="s">
        <v>115</v>
      </c>
      <c r="D20" s="169"/>
      <c r="E20" s="164" t="s">
        <v>39</v>
      </c>
      <c r="F20" s="164"/>
      <c r="G20" s="155" t="s">
        <v>40</v>
      </c>
      <c r="H20" s="155"/>
      <c r="I20" s="155" t="s">
        <v>41</v>
      </c>
      <c r="J20" s="155"/>
      <c r="K20" s="155" t="s">
        <v>42</v>
      </c>
      <c r="L20" s="155"/>
      <c r="M20" s="155" t="s">
        <v>43</v>
      </c>
      <c r="N20" s="156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</row>
    <row r="21" spans="1:42" s="34" customFormat="1" ht="30" customHeight="1" thickBot="1" x14ac:dyDescent="0.35">
      <c r="A21" s="31"/>
      <c r="B21" s="35" t="s">
        <v>44</v>
      </c>
      <c r="C21" s="168" t="s">
        <v>116</v>
      </c>
      <c r="D21" s="169"/>
      <c r="E21" s="164" t="s">
        <v>45</v>
      </c>
      <c r="F21" s="164"/>
      <c r="G21" s="155" t="s">
        <v>46</v>
      </c>
      <c r="H21" s="155"/>
      <c r="I21" s="155" t="s">
        <v>47</v>
      </c>
      <c r="J21" s="155"/>
      <c r="K21" s="155" t="s">
        <v>48</v>
      </c>
      <c r="L21" s="155"/>
      <c r="M21" s="155" t="s">
        <v>49</v>
      </c>
      <c r="N21" s="156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</row>
    <row r="22" spans="1:42" s="34" customFormat="1" ht="30" customHeight="1" x14ac:dyDescent="0.3">
      <c r="A22" s="31"/>
      <c r="B22" s="36" t="s">
        <v>50</v>
      </c>
      <c r="C22" s="168" t="s">
        <v>117</v>
      </c>
      <c r="D22" s="169"/>
      <c r="E22" s="164" t="s">
        <v>51</v>
      </c>
      <c r="F22" s="164"/>
      <c r="G22" s="155" t="s">
        <v>52</v>
      </c>
      <c r="H22" s="155"/>
      <c r="I22" s="155" t="s">
        <v>53</v>
      </c>
      <c r="J22" s="155"/>
      <c r="K22" s="155" t="s">
        <v>54</v>
      </c>
      <c r="L22" s="155"/>
      <c r="M22" s="155" t="s">
        <v>55</v>
      </c>
      <c r="N22" s="156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</row>
    <row r="23" spans="1:42" s="34" customFormat="1" ht="30" customHeight="1" thickBot="1" x14ac:dyDescent="0.35">
      <c r="A23" s="31"/>
      <c r="B23" s="35" t="s">
        <v>56</v>
      </c>
      <c r="C23" s="168" t="s">
        <v>118</v>
      </c>
      <c r="D23" s="169"/>
      <c r="E23" s="164" t="s">
        <v>57</v>
      </c>
      <c r="F23" s="164"/>
      <c r="G23" s="155" t="s">
        <v>58</v>
      </c>
      <c r="H23" s="155"/>
      <c r="I23" s="155" t="s">
        <v>59</v>
      </c>
      <c r="J23" s="155"/>
      <c r="K23" s="155" t="s">
        <v>60</v>
      </c>
      <c r="L23" s="155"/>
      <c r="M23" s="155" t="s">
        <v>61</v>
      </c>
      <c r="N23" s="156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</row>
    <row r="24" spans="1:42" s="34" customFormat="1" ht="30" customHeight="1" x14ac:dyDescent="0.3">
      <c r="A24" s="31"/>
      <c r="B24" s="32" t="s">
        <v>62</v>
      </c>
      <c r="C24" s="162" t="s">
        <v>119</v>
      </c>
      <c r="D24" s="163"/>
      <c r="E24" s="164" t="s">
        <v>63</v>
      </c>
      <c r="F24" s="164"/>
      <c r="G24" s="155" t="s">
        <v>64</v>
      </c>
      <c r="H24" s="155"/>
      <c r="I24" s="155" t="s">
        <v>65</v>
      </c>
      <c r="J24" s="155"/>
      <c r="K24" s="155" t="s">
        <v>66</v>
      </c>
      <c r="L24" s="155"/>
      <c r="M24" s="155" t="s">
        <v>67</v>
      </c>
      <c r="N24" s="156"/>
      <c r="O24" s="31"/>
      <c r="P24" s="31"/>
      <c r="Q24" s="31"/>
      <c r="R24" s="3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</row>
    <row r="25" spans="1:42" s="34" customFormat="1" ht="30" customHeight="1" thickBot="1" x14ac:dyDescent="0.35">
      <c r="A25" s="31"/>
      <c r="B25" s="35" t="s">
        <v>68</v>
      </c>
      <c r="C25" s="157" t="s">
        <v>119</v>
      </c>
      <c r="D25" s="158"/>
      <c r="E25" s="159" t="s">
        <v>69</v>
      </c>
      <c r="F25" s="159"/>
      <c r="G25" s="160" t="s">
        <v>70</v>
      </c>
      <c r="H25" s="160"/>
      <c r="I25" s="160" t="s">
        <v>71</v>
      </c>
      <c r="J25" s="160"/>
      <c r="K25" s="160" t="s">
        <v>72</v>
      </c>
      <c r="L25" s="160"/>
      <c r="M25" s="160" t="s">
        <v>73</v>
      </c>
      <c r="N25" s="161"/>
      <c r="O25" s="31"/>
      <c r="P25" s="31"/>
      <c r="Q25" s="31"/>
      <c r="R25" s="3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</row>
    <row r="26" spans="1:4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4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4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4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42" ht="15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42" ht="15" customHeight="1" x14ac:dyDescent="0.3">
      <c r="A31" s="1"/>
      <c r="B31" s="170" t="s">
        <v>74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2"/>
      <c r="O31" s="1"/>
    </row>
    <row r="32" spans="1:42" ht="15.75" customHeight="1" thickBot="1" x14ac:dyDescent="0.35">
      <c r="A32" s="1"/>
      <c r="B32" s="173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5"/>
      <c r="O32" s="1"/>
    </row>
    <row r="33" spans="1:15" x14ac:dyDescent="0.3">
      <c r="A33" s="1"/>
      <c r="B33" s="1"/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</row>
    <row r="34" spans="1:15" ht="18" x14ac:dyDescent="0.3">
      <c r="A34" s="1"/>
      <c r="B34" s="1"/>
      <c r="C34" s="1"/>
      <c r="D34" s="1"/>
      <c r="E34" s="1"/>
      <c r="F34" s="1"/>
      <c r="G34" s="1"/>
      <c r="H34" s="38" t="s">
        <v>75</v>
      </c>
      <c r="I34" s="1"/>
      <c r="J34" s="1"/>
      <c r="K34" s="1"/>
      <c r="L34" s="1"/>
      <c r="M34" s="1"/>
      <c r="N34" s="1"/>
      <c r="O34" s="1"/>
    </row>
    <row r="35" spans="1:15" ht="15" thickBot="1" x14ac:dyDescent="0.35">
      <c r="A35" s="1"/>
      <c r="B35" s="1"/>
      <c r="C35" s="39"/>
      <c r="D35" s="39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1"/>
    </row>
    <row r="36" spans="1:15" ht="20.100000000000001" customHeight="1" thickBot="1" x14ac:dyDescent="0.35">
      <c r="A36" s="1"/>
      <c r="B36" s="1"/>
      <c r="C36" s="41">
        <f>+IF(AND(ISERR(C37*2),LEN(C37)&gt;0),"Pb saisie",1)</f>
        <v>1</v>
      </c>
      <c r="D36" s="41">
        <f>+IF(AND(ISERR(D37*2),LEN(D37)&gt;0),"Pb saisie",2)</f>
        <v>2</v>
      </c>
      <c r="E36" s="41">
        <f>+IF(AND(ISERR(E37*2),LEN(E37)&gt;0),"Pb saisie",3)</f>
        <v>3</v>
      </c>
      <c r="F36" s="41">
        <f>+IF(AND(ISERR(F37*2),LEN(F37)&gt;0),"Pb saisie",4)</f>
        <v>4</v>
      </c>
      <c r="G36" s="41">
        <f>+IF(AND(ISERR(G37*2),LEN(G37)&gt;0),"Pb saisie",5)</f>
        <v>5</v>
      </c>
      <c r="H36" s="41">
        <f>+IF(AND(ISERR(H37*2),LEN(H37)&gt;0),"Pb saisie",6)</f>
        <v>6</v>
      </c>
      <c r="I36" s="41">
        <f>+IF(AND(ISERR(I37*2),LEN(I37)&gt;0),"Pb saisie",7)</f>
        <v>7</v>
      </c>
      <c r="J36" s="41">
        <f>+IF(AND(ISERR(J37*2),LEN(J37)&gt;0),"Pb saisie",8)</f>
        <v>8</v>
      </c>
      <c r="K36" s="41">
        <f>+IF(AND(ISERR(K37*2),LEN(K37)&gt;0),"Pb saisie",9)</f>
        <v>9</v>
      </c>
      <c r="L36" s="41">
        <f>+IF(AND(ISERR(L37*2),LEN(L37)&gt;0),"Pb saisie",10)</f>
        <v>10</v>
      </c>
      <c r="M36" s="41">
        <f>+IF(AND(ISERR(M37*2),LEN(M37)&gt;0),"Pb saisie",11)</f>
        <v>11</v>
      </c>
      <c r="N36" s="41">
        <f>+IF(AND(ISERR(N37*2),LEN(N37)&gt;0),"Pb saisie",12)</f>
        <v>12</v>
      </c>
      <c r="O36" s="1"/>
    </row>
    <row r="37" spans="1:15" ht="30" customHeight="1" x14ac:dyDescent="0.3">
      <c r="A37" s="1"/>
      <c r="B37" s="32" t="s">
        <v>26</v>
      </c>
      <c r="C37" s="48"/>
      <c r="D37" s="48"/>
      <c r="E37" s="49"/>
      <c r="F37" s="49"/>
      <c r="G37" s="50"/>
      <c r="H37" s="50"/>
      <c r="I37" s="50"/>
      <c r="J37" s="50"/>
      <c r="K37" s="50"/>
      <c r="L37" s="50"/>
      <c r="M37" s="50"/>
      <c r="N37" s="50"/>
      <c r="O37" s="1"/>
    </row>
    <row r="38" spans="1:15" ht="30" customHeight="1" x14ac:dyDescent="0.3">
      <c r="A38" s="1"/>
      <c r="B38" s="36" t="s">
        <v>32</v>
      </c>
      <c r="C38" s="48"/>
      <c r="D38" s="48"/>
      <c r="E38" s="49"/>
      <c r="F38" s="49"/>
      <c r="G38" s="50"/>
      <c r="H38" s="50"/>
      <c r="I38" s="50"/>
      <c r="J38" s="50"/>
      <c r="K38" s="50"/>
      <c r="L38" s="50"/>
      <c r="M38" s="50"/>
      <c r="N38" s="50"/>
      <c r="O38" s="1"/>
    </row>
    <row r="39" spans="1:15" ht="30" customHeight="1" x14ac:dyDescent="0.3">
      <c r="A39" s="1"/>
      <c r="B39" s="42" t="s">
        <v>38</v>
      </c>
      <c r="C39" s="48"/>
      <c r="D39" s="48"/>
      <c r="E39" s="49"/>
      <c r="F39" s="49"/>
      <c r="G39" s="50"/>
      <c r="H39" s="50"/>
      <c r="I39" s="50"/>
      <c r="J39" s="50"/>
      <c r="K39" s="50"/>
      <c r="L39" s="50"/>
      <c r="M39" s="50"/>
      <c r="N39" s="50"/>
      <c r="O39" s="1"/>
    </row>
    <row r="40" spans="1:15" ht="30" customHeight="1" x14ac:dyDescent="0.3">
      <c r="A40" s="1"/>
      <c r="B40" s="42" t="s">
        <v>44</v>
      </c>
      <c r="C40" s="48"/>
      <c r="D40" s="48"/>
      <c r="E40" s="49"/>
      <c r="F40" s="49"/>
      <c r="G40" s="50"/>
      <c r="H40" s="50"/>
      <c r="I40" s="50"/>
      <c r="J40" s="50"/>
      <c r="K40" s="50"/>
      <c r="L40" s="50"/>
      <c r="M40" s="50"/>
      <c r="N40" s="50"/>
      <c r="O40" s="1"/>
    </row>
    <row r="41" spans="1:15" ht="30" customHeight="1" x14ac:dyDescent="0.3">
      <c r="A41" s="1"/>
      <c r="B41" s="42" t="s">
        <v>50</v>
      </c>
      <c r="C41" s="48"/>
      <c r="D41" s="48"/>
      <c r="E41" s="49"/>
      <c r="F41" s="49"/>
      <c r="G41" s="50"/>
      <c r="H41" s="50"/>
      <c r="I41" s="50"/>
      <c r="J41" s="50"/>
      <c r="K41" s="50"/>
      <c r="L41" s="50"/>
      <c r="M41" s="50"/>
      <c r="N41" s="50"/>
      <c r="O41" s="1"/>
    </row>
    <row r="42" spans="1:15" ht="30" customHeight="1" x14ac:dyDescent="0.3">
      <c r="A42" s="1"/>
      <c r="B42" s="42" t="s">
        <v>56</v>
      </c>
      <c r="C42" s="48"/>
      <c r="D42" s="48"/>
      <c r="E42" s="49"/>
      <c r="F42" s="49"/>
      <c r="G42" s="50"/>
      <c r="H42" s="50"/>
      <c r="I42" s="50"/>
      <c r="J42" s="50"/>
      <c r="K42" s="50"/>
      <c r="L42" s="50"/>
      <c r="M42" s="50"/>
      <c r="N42" s="50"/>
      <c r="O42" s="1"/>
    </row>
    <row r="43" spans="1:15" ht="30" customHeight="1" x14ac:dyDescent="0.3">
      <c r="A43" s="1"/>
      <c r="B43" s="42" t="s">
        <v>62</v>
      </c>
      <c r="C43" s="51"/>
      <c r="D43" s="51"/>
      <c r="E43" s="49"/>
      <c r="F43" s="49"/>
      <c r="G43" s="50"/>
      <c r="H43" s="50"/>
      <c r="I43" s="50"/>
      <c r="J43" s="50"/>
      <c r="K43" s="50"/>
      <c r="L43" s="50"/>
      <c r="M43" s="50"/>
      <c r="N43" s="50"/>
      <c r="O43" s="1"/>
    </row>
    <row r="44" spans="1:15" ht="30" customHeight="1" thickBot="1" x14ac:dyDescent="0.35">
      <c r="A44" s="1"/>
      <c r="B44" s="35" t="s">
        <v>68</v>
      </c>
      <c r="C44" s="51"/>
      <c r="D44" s="51"/>
      <c r="E44" s="49"/>
      <c r="F44" s="49"/>
      <c r="G44" s="50"/>
      <c r="H44" s="50"/>
      <c r="I44" s="50"/>
      <c r="J44" s="50"/>
      <c r="K44" s="50"/>
      <c r="L44" s="50"/>
      <c r="M44" s="50"/>
      <c r="N44" s="50"/>
      <c r="O44" s="1"/>
    </row>
    <row r="45" spans="1:15" ht="8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O47" s="1"/>
    </row>
    <row r="48" spans="1:15" ht="25.5" customHeight="1" thickBot="1" x14ac:dyDescent="0.35">
      <c r="A48" s="1"/>
      <c r="B48" s="165" t="s">
        <v>13</v>
      </c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7"/>
      <c r="O48" s="1"/>
    </row>
    <row r="49" spans="1:15" x14ac:dyDescent="0.3">
      <c r="A49" s="1"/>
      <c r="B49" s="146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8"/>
      <c r="O49" s="1"/>
    </row>
    <row r="50" spans="1:15" x14ac:dyDescent="0.3">
      <c r="A50" s="1"/>
      <c r="B50" s="149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1"/>
      <c r="O50" s="1"/>
    </row>
    <row r="51" spans="1:15" x14ac:dyDescent="0.3">
      <c r="A51" s="1"/>
      <c r="B51" s="149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1"/>
      <c r="O51" s="1"/>
    </row>
    <row r="52" spans="1:15" x14ac:dyDescent="0.3">
      <c r="A52" s="1"/>
      <c r="B52" s="149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1"/>
      <c r="O52" s="1"/>
    </row>
    <row r="53" spans="1:15" x14ac:dyDescent="0.3">
      <c r="A53" s="1"/>
      <c r="B53" s="149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1"/>
      <c r="O53" s="1"/>
    </row>
    <row r="54" spans="1:15" x14ac:dyDescent="0.3">
      <c r="A54" s="1"/>
      <c r="B54" s="149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1"/>
      <c r="O54" s="1"/>
    </row>
    <row r="55" spans="1:15" x14ac:dyDescent="0.3">
      <c r="A55" s="1"/>
      <c r="B55" s="149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1"/>
      <c r="O55" s="1"/>
    </row>
    <row r="56" spans="1:15" x14ac:dyDescent="0.3">
      <c r="A56" s="1"/>
      <c r="B56" s="149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1"/>
      <c r="O56" s="1"/>
    </row>
    <row r="57" spans="1:15" x14ac:dyDescent="0.3">
      <c r="A57" s="1"/>
      <c r="B57" s="149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1"/>
      <c r="O57" s="1"/>
    </row>
    <row r="58" spans="1:15" x14ac:dyDescent="0.3">
      <c r="A58" s="1"/>
      <c r="B58" s="149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1"/>
      <c r="O58" s="1"/>
    </row>
    <row r="59" spans="1:15" x14ac:dyDescent="0.3">
      <c r="A59" s="1"/>
      <c r="B59" s="149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1"/>
      <c r="O59" s="1"/>
    </row>
    <row r="60" spans="1:15" x14ac:dyDescent="0.3">
      <c r="A60" s="1"/>
      <c r="B60" s="149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1"/>
      <c r="O60" s="1"/>
    </row>
    <row r="61" spans="1:15" x14ac:dyDescent="0.3">
      <c r="A61" s="1"/>
      <c r="B61" s="149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1"/>
      <c r="O61" s="1"/>
    </row>
    <row r="62" spans="1:15" x14ac:dyDescent="0.3">
      <c r="A62" s="1"/>
      <c r="B62" s="149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1"/>
      <c r="O62" s="1"/>
    </row>
    <row r="63" spans="1:15" ht="15" thickBot="1" x14ac:dyDescent="0.35">
      <c r="A63" s="1"/>
      <c r="B63" s="152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4"/>
      <c r="O63" s="1"/>
    </row>
    <row r="64" spans="1:1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5" t="s">
        <v>76</v>
      </c>
      <c r="O68" s="1"/>
    </row>
    <row r="69" spans="1:15" s="1" customFormat="1" x14ac:dyDescent="0.3"/>
    <row r="70" spans="1:15" s="1" customFormat="1" x14ac:dyDescent="0.3"/>
    <row r="71" spans="1:15" s="1" customFormat="1" x14ac:dyDescent="0.3"/>
    <row r="72" spans="1:15" s="1" customFormat="1" x14ac:dyDescent="0.3"/>
    <row r="73" spans="1:15" s="1" customFormat="1" x14ac:dyDescent="0.3"/>
    <row r="74" spans="1:15" s="1" customFormat="1" x14ac:dyDescent="0.3"/>
    <row r="75" spans="1:15" s="1" customFormat="1" x14ac:dyDescent="0.3"/>
    <row r="76" spans="1:15" s="1" customFormat="1" x14ac:dyDescent="0.3"/>
    <row r="77" spans="1:15" s="1" customFormat="1" x14ac:dyDescent="0.3"/>
    <row r="78" spans="1:15" s="1" customFormat="1" x14ac:dyDescent="0.3"/>
    <row r="79" spans="1:15" s="1" customFormat="1" x14ac:dyDescent="0.3"/>
    <row r="80" spans="1:15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</sheetData>
  <sheetProtection algorithmName="SHA-512" hashValue="kjquUYBLrp2eUy+DCPiVN8jQ34CG3+dtR9mywveSvSKvhq7HiYW8tFEDG/EQT2/y28cNlwV5lL+xzB0+FUo39w==" saltValue="67rz96W2787YDEzHhpRFFw==" spinCount="100000" sheet="1" objects="1" scenarios="1" selectLockedCells="1"/>
  <mergeCells count="60">
    <mergeCell ref="B2:O2"/>
    <mergeCell ref="C19:D19"/>
    <mergeCell ref="E19:F19"/>
    <mergeCell ref="G19:H19"/>
    <mergeCell ref="M20:N20"/>
    <mergeCell ref="C21:D21"/>
    <mergeCell ref="K18:L18"/>
    <mergeCell ref="M18:N18"/>
    <mergeCell ref="I19:J19"/>
    <mergeCell ref="K19:L19"/>
    <mergeCell ref="C18:D18"/>
    <mergeCell ref="E18:F18"/>
    <mergeCell ref="G18:H18"/>
    <mergeCell ref="I18:J18"/>
    <mergeCell ref="M19:N19"/>
    <mergeCell ref="B12:N13"/>
    <mergeCell ref="F16:N16"/>
    <mergeCell ref="C16:E16"/>
    <mergeCell ref="D5:F5"/>
    <mergeCell ref="D6:F6"/>
    <mergeCell ref="D7:F7"/>
    <mergeCell ref="M5:N5"/>
    <mergeCell ref="M6:N6"/>
    <mergeCell ref="E21:F21"/>
    <mergeCell ref="G21:H21"/>
    <mergeCell ref="I21:J21"/>
    <mergeCell ref="K21:L21"/>
    <mergeCell ref="M21:N21"/>
    <mergeCell ref="C20:D20"/>
    <mergeCell ref="E20:F20"/>
    <mergeCell ref="G20:H20"/>
    <mergeCell ref="I20:J20"/>
    <mergeCell ref="K20:L20"/>
    <mergeCell ref="M22:N22"/>
    <mergeCell ref="C23:D23"/>
    <mergeCell ref="E23:F23"/>
    <mergeCell ref="G23:H23"/>
    <mergeCell ref="I23:J23"/>
    <mergeCell ref="K23:L23"/>
    <mergeCell ref="M23:N23"/>
    <mergeCell ref="C22:D22"/>
    <mergeCell ref="E22:F22"/>
    <mergeCell ref="G22:H22"/>
    <mergeCell ref="I22:J22"/>
    <mergeCell ref="K22:L22"/>
    <mergeCell ref="B49:N63"/>
    <mergeCell ref="M24:N24"/>
    <mergeCell ref="C25:D25"/>
    <mergeCell ref="E25:F25"/>
    <mergeCell ref="G25:H25"/>
    <mergeCell ref="I25:J25"/>
    <mergeCell ref="K25:L25"/>
    <mergeCell ref="M25:N25"/>
    <mergeCell ref="C24:D24"/>
    <mergeCell ref="E24:F24"/>
    <mergeCell ref="G24:H24"/>
    <mergeCell ref="I24:J24"/>
    <mergeCell ref="K24:L24"/>
    <mergeCell ref="B48:N48"/>
    <mergeCell ref="B31:N32"/>
  </mergeCells>
  <phoneticPr fontId="30" type="noConversion"/>
  <conditionalFormatting sqref="C36:N36">
    <cfRule type="containsText" dxfId="17" priority="6" operator="containsText" text="Pb saisie">
      <formula>NOT(ISERROR(SEARCH("Pb saisie",C36)))</formula>
    </cfRule>
  </conditionalFormatting>
  <conditionalFormatting sqref="E36:I36">
    <cfRule type="containsText" dxfId="16" priority="1" operator="containsText" text="Pb saisie">
      <formula>NOT(ISERROR(SEARCH("Pb saisie",E36)))</formula>
    </cfRule>
  </conditionalFormatting>
  <pageMargins left="0.24" right="0.24" top="0.75" bottom="0.75" header="0.3" footer="0.3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1:AY115"/>
  <sheetViews>
    <sheetView view="pageLayout" zoomScaleNormal="80" workbookViewId="0">
      <selection activeCell="C84" sqref="C84"/>
    </sheetView>
  </sheetViews>
  <sheetFormatPr baseColWidth="10" defaultColWidth="9.33203125" defaultRowHeight="14.4" x14ac:dyDescent="0.3"/>
  <cols>
    <col min="1" max="1" width="2.5546875" style="1" customWidth="1"/>
    <col min="2" max="2" width="22.6640625" bestFit="1" customWidth="1"/>
    <col min="3" max="3" width="14.33203125" customWidth="1"/>
    <col min="4" max="4" width="17.88671875" bestFit="1" customWidth="1"/>
    <col min="5" max="5" width="19.44140625" bestFit="1" customWidth="1"/>
    <col min="6" max="6" width="20.109375" customWidth="1"/>
    <col min="7" max="7" width="25.44140625" customWidth="1"/>
    <col min="8" max="8" width="37.109375" style="113" customWidth="1"/>
    <col min="9" max="9" width="21.33203125" customWidth="1"/>
    <col min="10" max="10" width="19.109375" style="114" customWidth="1"/>
    <col min="11" max="11" width="20.6640625" style="114" customWidth="1"/>
    <col min="12" max="13" width="4.6640625" style="53" customWidth="1"/>
    <col min="14" max="14" width="13.6640625" style="54" customWidth="1"/>
    <col min="15" max="16" width="4.6640625" style="54" customWidth="1"/>
    <col min="17" max="17" width="16.6640625" style="54" customWidth="1"/>
    <col min="18" max="18" width="4.6640625" style="54" customWidth="1"/>
    <col min="19" max="20" width="4.6640625" style="25" customWidth="1"/>
    <col min="21" max="21" width="4.33203125" style="25" customWidth="1"/>
    <col min="22" max="22" width="5.5546875" style="25" customWidth="1"/>
    <col min="23" max="32" width="4.6640625" style="25" customWidth="1"/>
    <col min="33" max="33" width="5.109375" style="54" customWidth="1"/>
    <col min="34" max="34" width="5.88671875" style="54" customWidth="1"/>
    <col min="35" max="35" width="18.33203125" style="54" bestFit="1" customWidth="1"/>
    <col min="36" max="36" width="13.6640625" style="54" bestFit="1" customWidth="1"/>
    <col min="37" max="37" width="16.88671875" style="54" bestFit="1" customWidth="1"/>
    <col min="38" max="38" width="17.6640625" style="54" bestFit="1" customWidth="1"/>
    <col min="39" max="39" width="17.33203125" style="54" customWidth="1"/>
    <col min="40" max="40" width="11" style="54" customWidth="1"/>
    <col min="41" max="41" width="11.5546875" style="54" bestFit="1" customWidth="1"/>
    <col min="42" max="42" width="9.33203125" style="25"/>
    <col min="43" max="44" width="9.33203125" style="25" customWidth="1"/>
    <col min="45" max="48" width="9.33203125" style="25"/>
    <col min="49" max="50" width="9.33203125" style="1"/>
  </cols>
  <sheetData>
    <row r="1" spans="2:51" ht="15" thickBot="1" x14ac:dyDescent="0.35">
      <c r="B1" s="1"/>
      <c r="C1" s="1"/>
      <c r="D1" s="1"/>
      <c r="E1" s="1"/>
      <c r="F1" s="1"/>
      <c r="G1" s="1"/>
      <c r="H1" s="52"/>
      <c r="I1" s="1"/>
      <c r="J1" s="53"/>
      <c r="K1" s="53"/>
    </row>
    <row r="2" spans="2:51" ht="15" customHeight="1" x14ac:dyDescent="0.3">
      <c r="B2" s="213" t="s">
        <v>0</v>
      </c>
      <c r="C2" s="214"/>
      <c r="D2" s="214"/>
      <c r="E2" s="214"/>
      <c r="F2" s="214"/>
      <c r="G2" s="214"/>
      <c r="H2" s="214"/>
      <c r="I2" s="214"/>
      <c r="J2" s="215"/>
      <c r="K2" s="53"/>
      <c r="L2" s="55"/>
      <c r="M2" s="55"/>
      <c r="N2" s="56"/>
      <c r="O2" s="56"/>
      <c r="P2" s="56"/>
      <c r="Q2" s="56"/>
      <c r="R2" s="56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</row>
    <row r="3" spans="2:51" ht="25.5" customHeight="1" thickBot="1" x14ac:dyDescent="0.35">
      <c r="B3" s="216"/>
      <c r="C3" s="217"/>
      <c r="D3" s="217"/>
      <c r="E3" s="217"/>
      <c r="F3" s="217"/>
      <c r="G3" s="217"/>
      <c r="H3" s="217"/>
      <c r="I3" s="217"/>
      <c r="J3" s="218"/>
      <c r="K3" s="53"/>
      <c r="L3" s="55"/>
      <c r="M3" s="55"/>
      <c r="N3" s="56"/>
      <c r="O3" s="56"/>
      <c r="P3" s="56"/>
      <c r="Q3" s="56"/>
      <c r="R3" s="56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</row>
    <row r="4" spans="2:51" x14ac:dyDescent="0.3">
      <c r="B4" s="1"/>
      <c r="C4" s="1"/>
      <c r="D4" s="1"/>
      <c r="E4" s="1"/>
      <c r="F4" s="1"/>
      <c r="G4" s="1"/>
      <c r="H4" s="52"/>
      <c r="I4" s="1"/>
      <c r="J4" s="53"/>
      <c r="K4" s="53"/>
    </row>
    <row r="5" spans="2:51" ht="15.6" x14ac:dyDescent="0.3">
      <c r="B5" s="58" t="s">
        <v>16</v>
      </c>
      <c r="C5" s="188" t="str">
        <f>'Plan plaque - Saisie lectures'!D5</f>
        <v>…..................................................</v>
      </c>
      <c r="D5" s="188"/>
      <c r="E5" s="188"/>
      <c r="F5" s="4"/>
      <c r="G5" s="4"/>
      <c r="H5" s="59" t="s">
        <v>77</v>
      </c>
      <c r="I5" s="233" t="str">
        <f>'Plan plaque - Saisie lectures'!$M$5</f>
        <v>…....................................</v>
      </c>
      <c r="J5" s="234"/>
      <c r="K5" s="115"/>
      <c r="L5" s="115"/>
      <c r="M5" s="115"/>
    </row>
    <row r="6" spans="2:51" ht="15.6" x14ac:dyDescent="0.3">
      <c r="B6" s="58" t="s">
        <v>78</v>
      </c>
      <c r="C6" s="189" t="str">
        <f>'Plan plaque - Saisie lectures'!$D$6</f>
        <v>…..................................................</v>
      </c>
      <c r="D6" s="188"/>
      <c r="E6" s="20"/>
      <c r="F6" s="4"/>
      <c r="G6" s="4"/>
      <c r="H6" s="59" t="s">
        <v>79</v>
      </c>
      <c r="I6" s="233" t="str">
        <f>'Plan plaque - Saisie lectures'!$M$6</f>
        <v>…....................................</v>
      </c>
      <c r="J6" s="234"/>
      <c r="K6" s="115"/>
      <c r="L6" s="115"/>
      <c r="M6" s="115"/>
    </row>
    <row r="7" spans="2:51" ht="15.6" x14ac:dyDescent="0.3">
      <c r="B7" s="58" t="s">
        <v>3</v>
      </c>
      <c r="C7" s="188" t="str">
        <f>'Plan plaque - Saisie lectures'!$D$7</f>
        <v>…..................................................</v>
      </c>
      <c r="D7" s="188"/>
      <c r="E7" s="188"/>
      <c r="F7" s="4"/>
      <c r="G7" s="4"/>
      <c r="H7" s="52"/>
      <c r="I7" s="1"/>
      <c r="J7" s="53"/>
      <c r="K7" s="53"/>
    </row>
    <row r="8" spans="2:51" ht="15.6" x14ac:dyDescent="0.3">
      <c r="B8" s="58"/>
      <c r="C8" s="60"/>
      <c r="D8" s="60"/>
      <c r="E8" s="60"/>
      <c r="F8" s="1"/>
      <c r="G8" s="1"/>
      <c r="H8" s="52"/>
      <c r="I8" s="1"/>
      <c r="J8" s="53"/>
      <c r="K8" s="53"/>
      <c r="AG8" s="25"/>
      <c r="AH8" s="25"/>
      <c r="AI8" s="25"/>
      <c r="AJ8" s="25"/>
      <c r="AK8" s="25"/>
      <c r="AL8" s="25"/>
      <c r="AM8" s="25"/>
      <c r="AN8" s="25"/>
      <c r="AO8" s="25"/>
    </row>
    <row r="9" spans="2:51" ht="25.8" x14ac:dyDescent="0.5">
      <c r="B9" s="232" t="s">
        <v>80</v>
      </c>
      <c r="C9" s="232"/>
      <c r="D9" s="232"/>
      <c r="E9" s="232"/>
      <c r="F9" s="232"/>
      <c r="G9" s="232"/>
      <c r="H9" s="232"/>
      <c r="I9" s="232"/>
      <c r="J9" s="232"/>
      <c r="K9" s="53"/>
      <c r="AG9" s="25"/>
      <c r="AH9" s="25"/>
      <c r="AI9" s="25"/>
      <c r="AJ9" s="25"/>
      <c r="AK9" s="25"/>
      <c r="AL9" s="25"/>
      <c r="AM9" s="25"/>
      <c r="AN9" s="25"/>
      <c r="AO9" s="25"/>
    </row>
    <row r="10" spans="2:51" x14ac:dyDescent="0.3">
      <c r="B10" s="58"/>
      <c r="C10" s="61"/>
      <c r="D10" s="1"/>
      <c r="E10" s="1"/>
      <c r="F10" s="1"/>
      <c r="G10" s="1"/>
      <c r="H10" s="52"/>
      <c r="I10" s="1"/>
      <c r="J10" s="53"/>
      <c r="K10" s="53"/>
      <c r="AG10" s="25"/>
      <c r="AH10" s="25"/>
      <c r="AI10" s="25"/>
      <c r="AJ10" s="25"/>
      <c r="AK10" s="25"/>
      <c r="AL10" s="25"/>
      <c r="AM10" s="25"/>
      <c r="AN10" s="25"/>
      <c r="AO10" s="25"/>
    </row>
    <row r="11" spans="2:51" ht="15" thickBot="1" x14ac:dyDescent="0.35">
      <c r="B11" s="1"/>
      <c r="C11" s="1"/>
      <c r="D11" s="1"/>
      <c r="E11" s="1"/>
      <c r="F11" s="1"/>
      <c r="G11" s="1"/>
      <c r="H11" s="52"/>
      <c r="I11" s="1"/>
      <c r="J11" s="53"/>
      <c r="K11" s="53"/>
      <c r="AG11" s="25"/>
      <c r="AH11" s="25"/>
      <c r="AI11" s="25"/>
      <c r="AJ11" s="25"/>
      <c r="AK11" s="25"/>
      <c r="AL11" s="25"/>
      <c r="AM11" s="25"/>
      <c r="AN11" s="25"/>
      <c r="AO11" s="25"/>
    </row>
    <row r="12" spans="2:51" ht="35.25" customHeight="1" thickBot="1" x14ac:dyDescent="0.35">
      <c r="B12" s="224" t="s">
        <v>81</v>
      </c>
      <c r="C12" s="225"/>
      <c r="D12" s="226"/>
      <c r="E12" s="227"/>
      <c r="F12" s="122" t="s">
        <v>123</v>
      </c>
      <c r="G12" s="1"/>
      <c r="H12" s="230" t="s">
        <v>82</v>
      </c>
      <c r="I12" s="231"/>
      <c r="J12" s="127" t="s">
        <v>124</v>
      </c>
      <c r="K12" s="53"/>
      <c r="L12" s="25"/>
      <c r="N12" s="53"/>
      <c r="S12" s="54"/>
      <c r="AG12" s="25"/>
      <c r="AH12" s="25"/>
      <c r="AI12" s="25"/>
      <c r="AJ12" s="25"/>
      <c r="AK12" s="25"/>
      <c r="AL12" s="25"/>
      <c r="AM12" s="25"/>
      <c r="AN12" s="25"/>
      <c r="AO12" s="25"/>
      <c r="AW12" s="25"/>
      <c r="AY12" s="1"/>
    </row>
    <row r="13" spans="2:51" ht="15.75" customHeight="1" thickBot="1" x14ac:dyDescent="0.35">
      <c r="B13" s="228" t="s">
        <v>83</v>
      </c>
      <c r="C13" s="229"/>
      <c r="D13" s="63" t="s">
        <v>84</v>
      </c>
      <c r="E13" s="64" t="str">
        <f>IF(ISERR(AN20),"", AN20)</f>
        <v/>
      </c>
      <c r="F13" s="119" t="str">
        <f>IF(E13="","",IF(E13&gt;0.025,"NOT COMPIANT","COMPLIANT"))</f>
        <v/>
      </c>
      <c r="G13" s="31"/>
      <c r="H13" s="123" t="s">
        <v>125</v>
      </c>
      <c r="I13" s="124" t="str">
        <f>IF(SUM(C21:D26)=0,"",((-$E$30)+(SQRT($E$30^2-(4*$E$29*($E$31-AN23)))))/(2*$E$29))</f>
        <v/>
      </c>
      <c r="J13" s="137" t="str">
        <f>IF(I13="","",IF(I13&lt;I14,"COMPLIANT","NOT COMPLIANT"))</f>
        <v/>
      </c>
      <c r="K13" s="53"/>
      <c r="L13" s="25"/>
      <c r="N13" s="53"/>
      <c r="S13" s="54"/>
      <c r="AG13" s="25"/>
      <c r="AH13" s="25"/>
      <c r="AI13" s="25"/>
      <c r="AJ13" s="25"/>
      <c r="AK13" s="25"/>
      <c r="AL13" s="25"/>
      <c r="AM13" s="25"/>
      <c r="AN13" s="25"/>
      <c r="AO13" s="25"/>
      <c r="AW13" s="25"/>
      <c r="AY13" s="1"/>
    </row>
    <row r="14" spans="2:51" x14ac:dyDescent="0.3">
      <c r="B14" s="205" t="str">
        <f>IF(AL20=0,"", AL20)</f>
        <v/>
      </c>
      <c r="C14" s="206"/>
      <c r="D14" s="66" t="s">
        <v>85</v>
      </c>
      <c r="E14" s="67" t="str">
        <f>IF(ISERR(AN21),"", AN21)</f>
        <v/>
      </c>
      <c r="F14" s="120"/>
      <c r="G14" s="31"/>
      <c r="H14" s="123" t="s">
        <v>126</v>
      </c>
      <c r="I14" s="124" t="str">
        <f>IF(SUM(C21:D26)=0,"",6.25)</f>
        <v/>
      </c>
      <c r="J14" s="65"/>
      <c r="K14" s="25"/>
      <c r="L14" s="25"/>
      <c r="N14" s="53"/>
      <c r="S14" s="54"/>
      <c r="AG14" s="25"/>
      <c r="AH14" s="25"/>
      <c r="AI14" s="25"/>
      <c r="AJ14" s="25"/>
      <c r="AK14" s="25"/>
      <c r="AL14" s="25"/>
      <c r="AM14" s="25"/>
      <c r="AN14" s="25"/>
      <c r="AO14" s="25"/>
      <c r="AW14" s="25"/>
      <c r="AY14" s="1"/>
    </row>
    <row r="15" spans="2:51" ht="15" thickBot="1" x14ac:dyDescent="0.35">
      <c r="B15" s="207" t="str">
        <f t="shared" ref="B15:B17" si="0">IF(AL21=0,"", AL21)</f>
        <v/>
      </c>
      <c r="C15" s="208"/>
      <c r="D15" s="66" t="s">
        <v>86</v>
      </c>
      <c r="E15" s="67" t="str">
        <f>IF(ISERR(AN22),"", AN22)</f>
        <v/>
      </c>
      <c r="F15" s="118"/>
      <c r="G15" s="31"/>
      <c r="H15" s="125" t="s">
        <v>127</v>
      </c>
      <c r="I15" s="126" t="str">
        <f>IF(SUM(C21:D26)=0,"",MAX(C21:D26)+0.2)</f>
        <v/>
      </c>
      <c r="J15" s="65"/>
      <c r="K15" s="62"/>
      <c r="L15" s="25"/>
      <c r="N15" s="53"/>
      <c r="S15" s="54"/>
      <c r="AG15" s="25"/>
      <c r="AH15" s="25"/>
      <c r="AI15" s="25"/>
      <c r="AJ15" s="25"/>
      <c r="AK15" s="25"/>
      <c r="AL15" s="25"/>
      <c r="AM15" s="25"/>
      <c r="AN15" s="25"/>
      <c r="AO15" s="25"/>
      <c r="AW15" s="25"/>
      <c r="AY15" s="1"/>
    </row>
    <row r="16" spans="2:51" ht="15" thickBot="1" x14ac:dyDescent="0.35">
      <c r="B16" s="207" t="str">
        <f t="shared" si="0"/>
        <v/>
      </c>
      <c r="C16" s="208"/>
      <c r="D16" s="68" t="s">
        <v>87</v>
      </c>
      <c r="E16" s="69" t="str">
        <f>IF(ISERR(AN23),"", AN23)</f>
        <v/>
      </c>
      <c r="F16" s="31"/>
      <c r="G16" s="62"/>
      <c r="H16" s="62"/>
      <c r="I16" s="25"/>
      <c r="J16" s="25"/>
      <c r="K16" s="25"/>
      <c r="AC16" s="54"/>
      <c r="AD16" s="54"/>
      <c r="AE16" s="54"/>
      <c r="AF16" s="54"/>
      <c r="AP16" s="54"/>
    </row>
    <row r="17" spans="2:42" ht="15" thickBot="1" x14ac:dyDescent="0.35">
      <c r="B17" s="209" t="str">
        <f t="shared" si="0"/>
        <v/>
      </c>
      <c r="C17" s="210"/>
      <c r="D17" s="1"/>
      <c r="E17" s="1"/>
      <c r="F17" s="31"/>
      <c r="G17" s="62"/>
      <c r="H17" s="62"/>
      <c r="I17" s="25"/>
      <c r="J17" s="25"/>
      <c r="K17" s="25"/>
      <c r="AC17" s="54"/>
      <c r="AD17" s="54"/>
      <c r="AE17" s="54"/>
      <c r="AF17" s="54"/>
      <c r="AP17" s="54"/>
    </row>
    <row r="18" spans="2:42" ht="15" thickBot="1" x14ac:dyDescent="0.35">
      <c r="B18" s="62"/>
      <c r="C18" s="62"/>
      <c r="D18" s="1"/>
      <c r="E18" s="1"/>
      <c r="F18" s="31"/>
      <c r="G18" s="1"/>
      <c r="H18" s="52"/>
      <c r="I18" s="1"/>
      <c r="J18" s="53"/>
      <c r="K18" s="53"/>
      <c r="AC18" s="54"/>
      <c r="AD18" s="54"/>
      <c r="AE18" s="54"/>
      <c r="AF18" s="54"/>
      <c r="AP18" s="54"/>
    </row>
    <row r="19" spans="2:42" ht="24.75" customHeight="1" thickBot="1" x14ac:dyDescent="0.35">
      <c r="B19" s="235" t="s">
        <v>88</v>
      </c>
      <c r="C19" s="236"/>
      <c r="D19" s="236"/>
      <c r="E19" s="236"/>
      <c r="F19" s="237"/>
      <c r="G19" s="238" t="s">
        <v>122</v>
      </c>
      <c r="H19" s="52"/>
      <c r="I19" s="1"/>
      <c r="J19" s="70"/>
      <c r="K19" s="70"/>
      <c r="AC19" s="54"/>
      <c r="AD19" s="54"/>
      <c r="AE19" s="54"/>
      <c r="AF19" s="54"/>
      <c r="AI19" s="54" t="s">
        <v>89</v>
      </c>
      <c r="AJ19" s="54" t="s">
        <v>90</v>
      </c>
      <c r="AL19" s="54" t="s">
        <v>91</v>
      </c>
      <c r="AP19" s="54"/>
    </row>
    <row r="20" spans="2:42" ht="15" thickBot="1" x14ac:dyDescent="0.35">
      <c r="B20" s="71" t="s">
        <v>92</v>
      </c>
      <c r="C20" s="72" t="s">
        <v>93</v>
      </c>
      <c r="D20" s="73" t="s">
        <v>94</v>
      </c>
      <c r="E20" s="71" t="s">
        <v>95</v>
      </c>
      <c r="F20" s="130" t="s">
        <v>96</v>
      </c>
      <c r="G20" s="239"/>
      <c r="H20" s="1"/>
      <c r="I20" s="1"/>
      <c r="J20" s="74"/>
      <c r="K20" s="74"/>
      <c r="L20" s="75"/>
      <c r="M20" s="75"/>
      <c r="N20" s="76"/>
      <c r="O20" s="76"/>
      <c r="P20" s="76"/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6"/>
      <c r="AD20" s="76"/>
      <c r="AE20" s="76"/>
      <c r="AF20" s="76"/>
      <c r="AH20" s="54">
        <f>IF(E21&gt;SATURATION,0,B21)</f>
        <v>200</v>
      </c>
      <c r="AI20" s="54">
        <f>'Plan plaque - Saisie lectures'!$C37</f>
        <v>0</v>
      </c>
      <c r="AJ20" s="54">
        <f>'Plan plaque - Saisie lectures'!$D37</f>
        <v>0</v>
      </c>
      <c r="AK20" s="54" t="str">
        <f>IF(E21&gt;SATURATION,NSB,E21)</f>
        <v/>
      </c>
      <c r="AL20" s="54">
        <f>'Plan plaque - Saisie lectures'!C43</f>
        <v>0</v>
      </c>
      <c r="AM20" s="78" t="s">
        <v>84</v>
      </c>
      <c r="AN20" s="79" t="e">
        <f>AVERAGE(B14:B17)</f>
        <v>#DIV/0!</v>
      </c>
      <c r="AP20" s="54"/>
    </row>
    <row r="21" spans="2:42" ht="15" thickBot="1" x14ac:dyDescent="0.35">
      <c r="B21" s="80">
        <v>200</v>
      </c>
      <c r="C21" s="81" t="str">
        <f>IF(AI20=0,"",AI20)</f>
        <v/>
      </c>
      <c r="D21" s="128" t="str">
        <f>IF(AJ20=0,"",AJ20)</f>
        <v/>
      </c>
      <c r="E21" s="133" t="str">
        <f>IF(AND(ISTEXT(C21),ISTEXT(D21)), "",AVERAGE(C21:D21))</f>
        <v/>
      </c>
      <c r="F21" s="135" t="str">
        <f>IF(AND(C21="",D21=""),"",IF(OR(C21="",D21=""),"NA",STDEV(C21:D21)/E21*100))</f>
        <v/>
      </c>
      <c r="G21" s="134" t="str">
        <f>IF(E21="","",IF(E21&lt;1.3,"NOT COMPIANT","COMPLIANT"))</f>
        <v/>
      </c>
      <c r="H21" s="1"/>
      <c r="I21" s="1"/>
      <c r="J21" s="74"/>
      <c r="K21" s="74"/>
      <c r="L21" s="75"/>
      <c r="M21" s="75"/>
      <c r="N21" s="76"/>
      <c r="O21" s="76"/>
      <c r="P21" s="76"/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6"/>
      <c r="AD21" s="76"/>
      <c r="AE21" s="76"/>
      <c r="AF21" s="76"/>
      <c r="AH21" s="54">
        <f t="shared" ref="AH21:AH25" si="1">IF(E22&gt;SATURATION,0,B22)</f>
        <v>100</v>
      </c>
      <c r="AI21" s="54">
        <f>'Plan plaque - Saisie lectures'!$C38</f>
        <v>0</v>
      </c>
      <c r="AJ21" s="54">
        <f>'Plan plaque - Saisie lectures'!$D38</f>
        <v>0</v>
      </c>
      <c r="AK21" s="54" t="str">
        <f>IF(E22&gt;SATURATION,NSB,E22)</f>
        <v/>
      </c>
      <c r="AL21" s="54">
        <f>'Plan plaque - Saisie lectures'!D43</f>
        <v>0</v>
      </c>
      <c r="AM21" s="54" t="s">
        <v>85</v>
      </c>
      <c r="AN21" s="79" t="e">
        <f>STDEV(B14:B17)</f>
        <v>#DIV/0!</v>
      </c>
      <c r="AP21" s="54"/>
    </row>
    <row r="22" spans="2:42" x14ac:dyDescent="0.3">
      <c r="B22" s="82">
        <v>100</v>
      </c>
      <c r="C22" s="81" t="str">
        <f t="shared" ref="C22:C26" si="2">IF(AI21=0,"",AI21)</f>
        <v/>
      </c>
      <c r="D22" s="128" t="str">
        <f t="shared" ref="D22:D26" si="3">IF(AJ21=0,"",AJ21)</f>
        <v/>
      </c>
      <c r="E22" s="131" t="str">
        <f t="shared" ref="E22:E26" si="4">IF(AND(ISTEXT(C22),ISTEXT(D22)), "",AVERAGE(C22:D22))</f>
        <v/>
      </c>
      <c r="F22" s="135" t="str">
        <f t="shared" ref="F22:F26" si="5">IF(AND(C22="",D22=""),"",IF(OR(C22="",D22=""),"NA",STDEV(C22:D22)/E22*100))</f>
        <v/>
      </c>
      <c r="G22" s="1"/>
      <c r="H22" s="1"/>
      <c r="I22" s="1"/>
      <c r="J22" s="74"/>
      <c r="K22" s="74"/>
      <c r="L22" s="75"/>
      <c r="M22" s="75"/>
      <c r="N22" s="76"/>
      <c r="O22" s="76"/>
      <c r="P22" s="76"/>
      <c r="Q22" s="76"/>
      <c r="R22" s="76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6"/>
      <c r="AD22" s="76"/>
      <c r="AE22" s="76"/>
      <c r="AF22" s="76"/>
      <c r="AH22" s="54">
        <f t="shared" si="1"/>
        <v>50</v>
      </c>
      <c r="AI22" s="54">
        <f>'Plan plaque - Saisie lectures'!$C39</f>
        <v>0</v>
      </c>
      <c r="AJ22" s="54">
        <f>'Plan plaque - Saisie lectures'!$D39</f>
        <v>0</v>
      </c>
      <c r="AK22" s="54" t="str">
        <f t="shared" ref="AK22:AK24" si="6">IF(E23&gt;SATURATION,NSB,E23)</f>
        <v/>
      </c>
      <c r="AL22" s="54">
        <f>'Plan plaque - Saisie lectures'!C44</f>
        <v>0</v>
      </c>
      <c r="AM22" s="54" t="s">
        <v>86</v>
      </c>
      <c r="AN22" s="79" t="e">
        <f>AN20+3*AN21</f>
        <v>#DIV/0!</v>
      </c>
      <c r="AP22" s="54"/>
    </row>
    <row r="23" spans="2:42" ht="15" thickBot="1" x14ac:dyDescent="0.35">
      <c r="B23" s="82">
        <v>50</v>
      </c>
      <c r="C23" s="81" t="str">
        <f t="shared" si="2"/>
        <v/>
      </c>
      <c r="D23" s="128" t="str">
        <f t="shared" si="3"/>
        <v/>
      </c>
      <c r="E23" s="131" t="str">
        <f t="shared" si="4"/>
        <v/>
      </c>
      <c r="F23" s="135" t="str">
        <f t="shared" si="5"/>
        <v/>
      </c>
      <c r="G23" s="31"/>
      <c r="H23" s="1"/>
      <c r="I23" s="1"/>
      <c r="J23" s="74"/>
      <c r="K23" s="74"/>
      <c r="L23" s="75"/>
      <c r="M23" s="75"/>
      <c r="N23" s="76"/>
      <c r="O23" s="76"/>
      <c r="P23" s="76"/>
      <c r="Q23" s="76"/>
      <c r="R23" s="76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6"/>
      <c r="AD23" s="76"/>
      <c r="AE23" s="76"/>
      <c r="AF23" s="76"/>
      <c r="AH23" s="54">
        <f t="shared" si="1"/>
        <v>25</v>
      </c>
      <c r="AI23" s="54">
        <f>'Plan plaque - Saisie lectures'!$C40</f>
        <v>0</v>
      </c>
      <c r="AJ23" s="54">
        <f>'Plan plaque - Saisie lectures'!$D40</f>
        <v>0</v>
      </c>
      <c r="AK23" s="54" t="str">
        <f t="shared" si="6"/>
        <v/>
      </c>
      <c r="AL23" s="54">
        <f>'Plan plaque - Saisie lectures'!D44</f>
        <v>0</v>
      </c>
      <c r="AM23" s="54" t="s">
        <v>87</v>
      </c>
      <c r="AN23" s="79" t="e">
        <f>AN20+10*AN21</f>
        <v>#DIV/0!</v>
      </c>
      <c r="AP23" s="54"/>
    </row>
    <row r="24" spans="2:42" x14ac:dyDescent="0.3">
      <c r="B24" s="82">
        <v>25</v>
      </c>
      <c r="C24" s="81" t="str">
        <f t="shared" si="2"/>
        <v/>
      </c>
      <c r="D24" s="128" t="str">
        <f t="shared" si="3"/>
        <v/>
      </c>
      <c r="E24" s="131" t="str">
        <f t="shared" si="4"/>
        <v/>
      </c>
      <c r="F24" s="135" t="str">
        <f t="shared" si="5"/>
        <v/>
      </c>
      <c r="G24" s="240" t="s">
        <v>121</v>
      </c>
      <c r="H24" s="1"/>
      <c r="I24" s="1"/>
      <c r="J24" s="74"/>
      <c r="K24" s="74"/>
      <c r="L24" s="75"/>
      <c r="M24" s="75"/>
      <c r="N24" s="76"/>
      <c r="O24" s="76"/>
      <c r="P24" s="76"/>
      <c r="Q24" s="76"/>
      <c r="R24" s="76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6"/>
      <c r="AD24" s="76"/>
      <c r="AE24" s="76"/>
      <c r="AF24" s="76"/>
      <c r="AH24" s="54">
        <f t="shared" si="1"/>
        <v>12.5</v>
      </c>
      <c r="AI24" s="54">
        <f>'Plan plaque - Saisie lectures'!$C41</f>
        <v>0</v>
      </c>
      <c r="AJ24" s="54">
        <f>'Plan plaque - Saisie lectures'!$D41</f>
        <v>0</v>
      </c>
      <c r="AK24" s="54" t="str">
        <f t="shared" si="6"/>
        <v/>
      </c>
      <c r="AP24" s="54"/>
    </row>
    <row r="25" spans="2:42" ht="15" thickBot="1" x14ac:dyDescent="0.35">
      <c r="B25" s="82">
        <v>12.5</v>
      </c>
      <c r="C25" s="81" t="str">
        <f t="shared" si="2"/>
        <v/>
      </c>
      <c r="D25" s="128" t="str">
        <f t="shared" si="3"/>
        <v/>
      </c>
      <c r="E25" s="131" t="str">
        <f t="shared" si="4"/>
        <v/>
      </c>
      <c r="F25" s="135" t="str">
        <f t="shared" si="5"/>
        <v/>
      </c>
      <c r="G25" s="239"/>
      <c r="H25"/>
      <c r="I25" s="1"/>
      <c r="J25" s="74"/>
      <c r="K25" s="74"/>
      <c r="L25" s="75"/>
      <c r="M25" s="75"/>
      <c r="N25" s="76"/>
      <c r="O25" s="76"/>
      <c r="P25" s="76"/>
      <c r="Q25" s="76"/>
      <c r="R25" s="76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6"/>
      <c r="AD25" s="76"/>
      <c r="AE25" s="76"/>
      <c r="AF25" s="76"/>
      <c r="AH25" s="54">
        <f t="shared" si="1"/>
        <v>6.25</v>
      </c>
      <c r="AI25" s="54">
        <f>'Plan plaque - Saisie lectures'!$C42</f>
        <v>0</v>
      </c>
      <c r="AJ25" s="54">
        <f>'Plan plaque - Saisie lectures'!$D42</f>
        <v>0</v>
      </c>
      <c r="AK25" s="54" t="str">
        <f>IF(E26&gt;SATURATION,NSB,E26)</f>
        <v/>
      </c>
      <c r="AP25" s="54"/>
    </row>
    <row r="26" spans="2:42" ht="15" thickBot="1" x14ac:dyDescent="0.35">
      <c r="B26" s="83">
        <v>6.25</v>
      </c>
      <c r="C26" s="84" t="str">
        <f t="shared" si="2"/>
        <v/>
      </c>
      <c r="D26" s="129" t="str">
        <f t="shared" si="3"/>
        <v/>
      </c>
      <c r="E26" s="132" t="str">
        <f t="shared" si="4"/>
        <v/>
      </c>
      <c r="F26" s="136" t="str">
        <f t="shared" si="5"/>
        <v/>
      </c>
      <c r="G26" s="134" t="str">
        <f>IF(E26="","",IF(E26/E13&lt;2,"NOT COMPIANT","COMPLIANT"))</f>
        <v/>
      </c>
      <c r="H26" s="1"/>
      <c r="I26" s="1"/>
      <c r="J26" s="74"/>
      <c r="K26" s="74"/>
      <c r="L26" s="75"/>
      <c r="M26" s="75"/>
      <c r="N26" s="76"/>
      <c r="O26" s="76"/>
      <c r="P26" s="76"/>
      <c r="Q26" s="76"/>
      <c r="R26" s="76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6"/>
      <c r="AD26" s="76"/>
      <c r="AE26" s="76"/>
      <c r="AF26" s="76"/>
      <c r="AH26" s="54">
        <v>0</v>
      </c>
      <c r="AK26" s="54" t="e">
        <f>NSB</f>
        <v>#DIV/0!</v>
      </c>
      <c r="AP26" s="54"/>
    </row>
    <row r="27" spans="2:42" ht="15" thickBot="1" x14ac:dyDescent="0.35">
      <c r="B27" s="44"/>
      <c r="C27" s="85"/>
      <c r="D27" s="86"/>
      <c r="E27" s="87"/>
      <c r="F27" s="62"/>
      <c r="G27" s="31"/>
      <c r="H27" s="52"/>
      <c r="I27" s="1"/>
      <c r="J27" s="74"/>
      <c r="K27" s="74"/>
      <c r="AC27" s="54"/>
      <c r="AD27" s="54"/>
      <c r="AE27" s="54"/>
      <c r="AF27" s="54"/>
      <c r="AP27" s="54"/>
    </row>
    <row r="28" spans="2:42" ht="18" thickBot="1" x14ac:dyDescent="0.35">
      <c r="B28" s="221" t="s">
        <v>97</v>
      </c>
      <c r="C28" s="222"/>
      <c r="D28" s="222"/>
      <c r="E28" s="223"/>
      <c r="G28" s="22"/>
      <c r="H28" s="22"/>
      <c r="I28" s="121"/>
      <c r="J28" s="74"/>
      <c r="K28" s="74"/>
      <c r="AC28" s="54"/>
      <c r="AD28" s="54"/>
      <c r="AE28" s="54"/>
      <c r="AF28" s="54"/>
      <c r="AP28" s="54"/>
    </row>
    <row r="29" spans="2:42" ht="15" thickBot="1" x14ac:dyDescent="0.35">
      <c r="B29" s="43"/>
      <c r="C29" s="1"/>
      <c r="D29" s="88" t="s">
        <v>26</v>
      </c>
      <c r="E29" s="89" t="e">
        <f>INDEX(LINEST($AK$20:$AK$26,$AH$20:$AH$26^{1,2}),1,1)</f>
        <v>#VALUE!</v>
      </c>
      <c r="F29" s="31"/>
      <c r="G29" s="31"/>
      <c r="H29" s="52"/>
      <c r="I29" s="1"/>
      <c r="J29" s="53"/>
      <c r="K29" s="53"/>
      <c r="AC29" s="54"/>
      <c r="AD29" s="54"/>
      <c r="AE29" s="54"/>
      <c r="AF29" s="54"/>
      <c r="AP29" s="54"/>
    </row>
    <row r="30" spans="2:42" ht="16.5" customHeight="1" x14ac:dyDescent="0.3">
      <c r="B30" s="43"/>
      <c r="C30" s="1"/>
      <c r="D30" s="90" t="s">
        <v>32</v>
      </c>
      <c r="E30" s="89" t="e">
        <f>INDEX(LINEST($AK$20:$AK$26,$AH$20:$AH$26^{1,2}),1,2)</f>
        <v>#VALUE!</v>
      </c>
      <c r="F30" s="211" t="s">
        <v>128</v>
      </c>
      <c r="G30" s="31"/>
      <c r="H30" s="52"/>
      <c r="I30" s="1"/>
      <c r="J30" s="53"/>
      <c r="K30" s="53"/>
      <c r="AC30" s="54"/>
      <c r="AD30" s="54"/>
      <c r="AE30" s="54"/>
      <c r="AF30" s="54"/>
      <c r="AP30" s="54"/>
    </row>
    <row r="31" spans="2:42" ht="15" thickBot="1" x14ac:dyDescent="0.35">
      <c r="B31" s="43"/>
      <c r="C31" s="1"/>
      <c r="D31" s="90" t="s">
        <v>38</v>
      </c>
      <c r="E31" s="89" t="e">
        <f>INDEX(LINEST($AK$20:$AK$26,$AH$20:$AH$26^{1,2}),1,3)</f>
        <v>#VALUE!</v>
      </c>
      <c r="F31" s="212"/>
      <c r="G31" s="31"/>
      <c r="H31" s="52"/>
      <c r="I31" s="1"/>
      <c r="J31" s="53"/>
      <c r="K31" s="53"/>
      <c r="AC31" s="54"/>
      <c r="AD31" s="54"/>
      <c r="AE31" s="54"/>
      <c r="AF31" s="54"/>
      <c r="AM31" s="91"/>
      <c r="AP31" s="54"/>
    </row>
    <row r="32" spans="2:42" ht="15" thickBot="1" x14ac:dyDescent="0.35">
      <c r="B32" s="219" t="s">
        <v>98</v>
      </c>
      <c r="C32" s="220"/>
      <c r="D32" s="92" t="s">
        <v>99</v>
      </c>
      <c r="E32" s="93" t="e">
        <f>INDEX(LINEST($AK$20:$AK$26,$AH$20:$AH$26^{1,2},TRUE,TRUE),3,1)</f>
        <v>#VALUE!</v>
      </c>
      <c r="F32" s="119" t="e">
        <f>IF(E32="","",IF(E32&lt;0.99,"NOT COMPIANT","COMPLIANT"))</f>
        <v>#VALUE!</v>
      </c>
      <c r="G32" s="31"/>
      <c r="H32" s="52"/>
      <c r="I32" s="1"/>
      <c r="J32" s="53"/>
      <c r="K32" s="53"/>
      <c r="AC32" s="54"/>
      <c r="AD32" s="54"/>
      <c r="AE32" s="54"/>
      <c r="AF32" s="54"/>
      <c r="AP32" s="54"/>
    </row>
    <row r="33" spans="2:42" x14ac:dyDescent="0.3">
      <c r="B33" s="31"/>
      <c r="C33" s="31"/>
      <c r="D33" s="94"/>
      <c r="E33" s="95"/>
      <c r="F33" s="31"/>
      <c r="G33" s="31"/>
      <c r="H33" s="52"/>
      <c r="I33" s="1"/>
      <c r="J33" s="53"/>
      <c r="K33" s="53"/>
      <c r="AC33" s="54"/>
      <c r="AD33" s="54"/>
      <c r="AE33" s="54"/>
      <c r="AF33" s="54"/>
      <c r="AP33" s="54"/>
    </row>
    <row r="34" spans="2:42" x14ac:dyDescent="0.3">
      <c r="B34" s="31"/>
      <c r="C34" s="31"/>
      <c r="D34" s="94"/>
      <c r="E34" s="95"/>
      <c r="F34" s="31"/>
      <c r="G34" s="31"/>
      <c r="H34" s="52"/>
      <c r="I34" s="1"/>
      <c r="J34" s="53"/>
      <c r="K34" s="53"/>
      <c r="AC34" s="54"/>
      <c r="AD34" s="54"/>
      <c r="AE34" s="54"/>
      <c r="AF34" s="54"/>
      <c r="AP34" s="54"/>
    </row>
    <row r="35" spans="2:42" x14ac:dyDescent="0.3">
      <c r="B35" s="31"/>
      <c r="C35" s="31"/>
      <c r="D35" s="94"/>
      <c r="E35" s="95"/>
      <c r="F35" s="31"/>
      <c r="G35" s="31"/>
      <c r="H35" s="52"/>
      <c r="I35" s="1"/>
      <c r="J35" s="53"/>
      <c r="K35" s="5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54"/>
      <c r="AD35" s="54"/>
      <c r="AE35" s="54"/>
      <c r="AF35" s="54"/>
      <c r="AP35" s="54"/>
    </row>
    <row r="36" spans="2:42" x14ac:dyDescent="0.3">
      <c r="B36" s="31"/>
      <c r="C36" s="31"/>
      <c r="D36" s="94"/>
      <c r="E36" s="95"/>
      <c r="F36" s="31"/>
      <c r="G36" s="31"/>
      <c r="H36" s="52"/>
      <c r="I36" s="1"/>
      <c r="J36" s="53"/>
      <c r="K36" s="5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54"/>
      <c r="AD36" s="54"/>
      <c r="AE36" s="54"/>
      <c r="AF36" s="54"/>
      <c r="AP36" s="54"/>
    </row>
    <row r="37" spans="2:42" ht="15" thickBot="1" x14ac:dyDescent="0.35">
      <c r="B37" s="31"/>
      <c r="C37" s="31"/>
      <c r="D37" s="31"/>
      <c r="E37" s="31"/>
      <c r="F37" s="31"/>
      <c r="G37" s="31"/>
      <c r="H37" s="52"/>
      <c r="I37" s="53" t="s">
        <v>120</v>
      </c>
      <c r="J37" s="53"/>
      <c r="K37" s="5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54"/>
      <c r="AD37" s="54"/>
      <c r="AE37" s="54"/>
      <c r="AF37" s="54"/>
      <c r="AP37" s="54"/>
    </row>
    <row r="38" spans="2:42" ht="15" customHeight="1" x14ac:dyDescent="0.3">
      <c r="B38" s="1"/>
      <c r="C38" s="1"/>
      <c r="D38" s="199" t="s">
        <v>100</v>
      </c>
      <c r="E38" s="200"/>
      <c r="F38" s="200"/>
      <c r="G38" s="200"/>
      <c r="H38" s="200"/>
      <c r="I38" s="200"/>
      <c r="J38" s="200"/>
      <c r="K38" s="20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54"/>
      <c r="AD38" s="54"/>
      <c r="AE38" s="54"/>
      <c r="AF38" s="54"/>
      <c r="AK38" s="78" t="s">
        <v>101</v>
      </c>
      <c r="AL38" s="78" t="s">
        <v>102</v>
      </c>
      <c r="AM38" s="78" t="s">
        <v>103</v>
      </c>
      <c r="AN38" s="54" t="s">
        <v>104</v>
      </c>
      <c r="AP38" s="54"/>
    </row>
    <row r="39" spans="2:42" ht="11.4" customHeight="1" thickBot="1" x14ac:dyDescent="0.35">
      <c r="B39" s="1"/>
      <c r="C39" s="1"/>
      <c r="D39" s="202"/>
      <c r="E39" s="203"/>
      <c r="F39" s="203"/>
      <c r="G39" s="203"/>
      <c r="H39" s="203"/>
      <c r="I39" s="203"/>
      <c r="J39" s="203"/>
      <c r="K39" s="20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54"/>
      <c r="AD39" s="54"/>
      <c r="AE39" s="54"/>
      <c r="AF39" s="54"/>
      <c r="AP39" s="54"/>
    </row>
    <row r="40" spans="2:42" ht="28.8" x14ac:dyDescent="0.45">
      <c r="B40" s="1"/>
      <c r="C40" s="1"/>
      <c r="D40" s="96" t="s">
        <v>105</v>
      </c>
      <c r="E40" s="97" t="s">
        <v>93</v>
      </c>
      <c r="F40" s="97" t="s">
        <v>94</v>
      </c>
      <c r="G40" s="97" t="s">
        <v>95</v>
      </c>
      <c r="H40" s="98" t="s">
        <v>106</v>
      </c>
      <c r="I40" s="98" t="s">
        <v>107</v>
      </c>
      <c r="J40" s="98" t="s">
        <v>108</v>
      </c>
      <c r="K40" s="99" t="s">
        <v>96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54"/>
      <c r="AD40" s="54"/>
      <c r="AE40" s="54"/>
      <c r="AF40" s="54"/>
      <c r="AG40" s="100"/>
      <c r="AH40" s="78"/>
      <c r="AI40" s="78"/>
      <c r="AJ40" s="54" t="str">
        <f>IF(SUM(AH40:AI40)=0,"",             ((-$E$30)+(SQRT($E$30^2-(4*$E$29*($E$31-#REF!)))))/(2*$E$29))</f>
        <v/>
      </c>
      <c r="AL40" s="101"/>
      <c r="AP40" s="54"/>
    </row>
    <row r="41" spans="2:42" ht="19.2" x14ac:dyDescent="0.45">
      <c r="B41" s="1"/>
      <c r="C41" s="1"/>
      <c r="D41" s="102" t="str">
        <f>'Plan plaque - Saisie lectures'!E18</f>
        <v>ECH N°1</v>
      </c>
      <c r="E41" s="103" t="str">
        <f>IF(AH41=0,"",AH41)</f>
        <v/>
      </c>
      <c r="F41" s="103" t="str">
        <f>IF(AI41=0,"",AI41)</f>
        <v/>
      </c>
      <c r="G41" s="104" t="str">
        <f>IF(AND(ISTEXT(E41),ISTEXT(F41))," ",AVERAGE(E41:F41))</f>
        <v xml:space="preserve"> </v>
      </c>
      <c r="H41" s="105" t="str">
        <f t="shared" ref="H41:H80" si="7">IF(G41=" ","",IF(AJ41&lt;$I$13,"&lt;LLOD",AJ41))</f>
        <v/>
      </c>
      <c r="I41" s="116"/>
      <c r="J41" s="105" t="str">
        <f t="shared" ref="J41:J80" si="8">IF(I41="","",IF(AJ41&lt;$I$13,"&lt;LLOD",AL41))</f>
        <v/>
      </c>
      <c r="K41" s="106" t="str">
        <f>IF(AND(E41="",F41=""),"",IF(OR(E41="",F41=""),"NA",IF(AND(E41="SATURATION",F41="SATURATION"),"NA",IF(OR(E41="SATURATION",F41="SATURATION"),"NA",AM41))))</f>
        <v/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54"/>
      <c r="AD41" s="54"/>
      <c r="AE41" s="54"/>
      <c r="AF41" s="54"/>
      <c r="AH41" s="78">
        <f>IF('Plan plaque - Saisie lectures'!E37&gt;SATURATION,"SATURATION",'Plan plaque - Saisie lectures'!E37)</f>
        <v>0</v>
      </c>
      <c r="AI41" s="78">
        <f>IF('Plan plaque - Saisie lectures'!F37&gt;SATURATION,"SATURATION",'Plan plaque - Saisie lectures'!F37)</f>
        <v>0</v>
      </c>
      <c r="AJ41" s="54" t="e">
        <f>IF(G41="NA","NA",((-$E$30)+(SQRT($E$30^2-(4*$E$29*($E$31-G41)))))/(2*$E$29))</f>
        <v>#VALUE!</v>
      </c>
      <c r="AK41" s="54">
        <f t="shared" ref="AK41" si="9">I41</f>
        <v>0</v>
      </c>
      <c r="AL41" s="101" t="str">
        <f>IF(H41="","",AK41*AJ41)</f>
        <v/>
      </c>
      <c r="AM41" s="54" t="e">
        <f>STDEV(AH41:AI41)/AVERAGE(AH41:AI41)*100</f>
        <v>#DIV/0!</v>
      </c>
      <c r="AP41" s="54"/>
    </row>
    <row r="42" spans="2:42" ht="19.2" x14ac:dyDescent="0.45">
      <c r="B42" s="1"/>
      <c r="C42" s="1"/>
      <c r="D42" s="102" t="str">
        <f>'Plan plaque - Saisie lectures'!E19</f>
        <v>ECH N°2</v>
      </c>
      <c r="E42" s="103" t="str">
        <f t="shared" ref="E42:E80" si="10">IF(AH42=0,"",AH42)</f>
        <v/>
      </c>
      <c r="F42" s="103" t="str">
        <f t="shared" ref="F42:F80" si="11">IF(AI42=0,"",AI42)</f>
        <v/>
      </c>
      <c r="G42" s="104" t="str">
        <f t="shared" ref="G42:G80" si="12">IF(AND(ISTEXT(E42),ISTEXT(F42))," ",AVERAGE(E42:F42))</f>
        <v xml:space="preserve"> </v>
      </c>
      <c r="H42" s="105" t="str">
        <f t="shared" si="7"/>
        <v/>
      </c>
      <c r="I42" s="116"/>
      <c r="J42" s="105" t="str">
        <f t="shared" si="8"/>
        <v/>
      </c>
      <c r="K42" s="106" t="str">
        <f t="shared" ref="K42:K80" si="13">IF(AND(E42="",F42=""),"",IF(OR(E42="",F42=""),"NA",IF(AND(E42="SATURATION",F42="SATURATION"),"NA",IF(OR(E42="SATURATION",F42="SATURATION"),"NA",AM42))))</f>
        <v/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54"/>
      <c r="AD42" s="54"/>
      <c r="AE42" s="54"/>
      <c r="AF42" s="54"/>
      <c r="AH42" s="78">
        <f>IF('Plan plaque - Saisie lectures'!E38&gt;SATURATION,"SATURATION",'Plan plaque - Saisie lectures'!E38)</f>
        <v>0</v>
      </c>
      <c r="AI42" s="78">
        <f>IF('Plan plaque - Saisie lectures'!F38&gt;SATURATION,"SATURATION",'Plan plaque - Saisie lectures'!F38)</f>
        <v>0</v>
      </c>
      <c r="AJ42" s="54" t="e">
        <f t="shared" ref="AJ42:AJ80" si="14">IF(G42="NA","NA",((-$E$30)+(SQRT($E$30^2-(4*$E$29*($E$31-G42)))))/(2*$E$29))</f>
        <v>#VALUE!</v>
      </c>
      <c r="AK42" s="54">
        <f t="shared" ref="AK42:AK80" si="15">I42</f>
        <v>0</v>
      </c>
      <c r="AL42" s="101" t="str">
        <f t="shared" ref="AL42:AL80" si="16">IF(H42="","",AK42*AJ42)</f>
        <v/>
      </c>
      <c r="AM42" s="54" t="e">
        <f t="shared" ref="AM42:AM80" si="17">STDEV(AH42:AI42)/AVERAGE(AH42:AI42)*100</f>
        <v>#DIV/0!</v>
      </c>
      <c r="AP42" s="54"/>
    </row>
    <row r="43" spans="2:42" ht="19.2" x14ac:dyDescent="0.45">
      <c r="B43" s="1"/>
      <c r="C43" s="1"/>
      <c r="D43" s="102" t="str">
        <f>'Plan plaque - Saisie lectures'!E20</f>
        <v>ECH N°3</v>
      </c>
      <c r="E43" s="103" t="str">
        <f t="shared" si="10"/>
        <v/>
      </c>
      <c r="F43" s="103" t="str">
        <f t="shared" si="11"/>
        <v/>
      </c>
      <c r="G43" s="104" t="str">
        <f t="shared" si="12"/>
        <v xml:space="preserve"> </v>
      </c>
      <c r="H43" s="105" t="str">
        <f t="shared" si="7"/>
        <v/>
      </c>
      <c r="I43" s="116"/>
      <c r="J43" s="105" t="str">
        <f t="shared" si="8"/>
        <v/>
      </c>
      <c r="K43" s="106" t="str">
        <f t="shared" si="13"/>
        <v/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54"/>
      <c r="AD43" s="54"/>
      <c r="AE43" s="54"/>
      <c r="AF43" s="54"/>
      <c r="AH43" s="78">
        <f>IF('Plan plaque - Saisie lectures'!E39&gt;SATURATION,"SATURATION",'Plan plaque - Saisie lectures'!E39)</f>
        <v>0</v>
      </c>
      <c r="AI43" s="78">
        <f>IF('Plan plaque - Saisie lectures'!F39&gt;SATURATION,"SATURATION",'Plan plaque - Saisie lectures'!F39)</f>
        <v>0</v>
      </c>
      <c r="AJ43" s="54" t="e">
        <f t="shared" si="14"/>
        <v>#VALUE!</v>
      </c>
      <c r="AK43" s="54">
        <f t="shared" si="15"/>
        <v>0</v>
      </c>
      <c r="AL43" s="101" t="str">
        <f t="shared" si="16"/>
        <v/>
      </c>
      <c r="AM43" s="54" t="e">
        <f t="shared" si="17"/>
        <v>#DIV/0!</v>
      </c>
      <c r="AP43" s="54"/>
    </row>
    <row r="44" spans="2:42" ht="15" customHeight="1" x14ac:dyDescent="0.45">
      <c r="B44" s="1"/>
      <c r="C44" s="1"/>
      <c r="D44" s="102" t="str">
        <f>'Plan plaque - Saisie lectures'!E21</f>
        <v>ECH N°4</v>
      </c>
      <c r="E44" s="103" t="str">
        <f t="shared" si="10"/>
        <v/>
      </c>
      <c r="F44" s="103" t="str">
        <f t="shared" si="11"/>
        <v/>
      </c>
      <c r="G44" s="104" t="str">
        <f t="shared" si="12"/>
        <v xml:space="preserve"> </v>
      </c>
      <c r="H44" s="105" t="str">
        <f t="shared" si="7"/>
        <v/>
      </c>
      <c r="I44" s="116"/>
      <c r="J44" s="105" t="str">
        <f t="shared" si="8"/>
        <v/>
      </c>
      <c r="K44" s="106" t="str">
        <f t="shared" si="13"/>
        <v/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54"/>
      <c r="AD44" s="54"/>
      <c r="AE44" s="54"/>
      <c r="AF44" s="54"/>
      <c r="AH44" s="78">
        <f>IF('Plan plaque - Saisie lectures'!E40&gt;SATURATION,"SATURATION",'Plan plaque - Saisie lectures'!E40)</f>
        <v>0</v>
      </c>
      <c r="AI44" s="78">
        <f>IF('Plan plaque - Saisie lectures'!F40&gt;SATURATION,"SATURATION",'Plan plaque - Saisie lectures'!F40)</f>
        <v>0</v>
      </c>
      <c r="AJ44" s="54" t="e">
        <f t="shared" si="14"/>
        <v>#VALUE!</v>
      </c>
      <c r="AK44" s="54">
        <f t="shared" si="15"/>
        <v>0</v>
      </c>
      <c r="AL44" s="101" t="str">
        <f t="shared" si="16"/>
        <v/>
      </c>
      <c r="AM44" s="54" t="e">
        <f t="shared" si="17"/>
        <v>#DIV/0!</v>
      </c>
      <c r="AP44" s="54"/>
    </row>
    <row r="45" spans="2:42" ht="15" customHeight="1" x14ac:dyDescent="0.45">
      <c r="B45" s="1"/>
      <c r="C45" s="1"/>
      <c r="D45" s="102" t="str">
        <f>'Plan plaque - Saisie lectures'!E22</f>
        <v>ECH N°5</v>
      </c>
      <c r="E45" s="103" t="str">
        <f t="shared" si="10"/>
        <v/>
      </c>
      <c r="F45" s="103" t="str">
        <f t="shared" si="11"/>
        <v/>
      </c>
      <c r="G45" s="104" t="str">
        <f t="shared" si="12"/>
        <v xml:space="preserve"> </v>
      </c>
      <c r="H45" s="105" t="str">
        <f t="shared" si="7"/>
        <v/>
      </c>
      <c r="I45" s="116"/>
      <c r="J45" s="105" t="str">
        <f t="shared" si="8"/>
        <v/>
      </c>
      <c r="K45" s="106" t="str">
        <f t="shared" si="13"/>
        <v/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54"/>
      <c r="AD45" s="54"/>
      <c r="AE45" s="54"/>
      <c r="AF45" s="54"/>
      <c r="AH45" s="78">
        <f>IF('Plan plaque - Saisie lectures'!E41&gt;SATURATION,"SATURATION",'Plan plaque - Saisie lectures'!E41)</f>
        <v>0</v>
      </c>
      <c r="AI45" s="78">
        <f>IF('Plan plaque - Saisie lectures'!F41&gt;SATURATION,"SATURATION",'Plan plaque - Saisie lectures'!F41)</f>
        <v>0</v>
      </c>
      <c r="AJ45" s="54" t="e">
        <f t="shared" si="14"/>
        <v>#VALUE!</v>
      </c>
      <c r="AK45" s="54">
        <f t="shared" si="15"/>
        <v>0</v>
      </c>
      <c r="AL45" s="101" t="str">
        <f t="shared" si="16"/>
        <v/>
      </c>
      <c r="AM45" s="54" t="e">
        <f t="shared" si="17"/>
        <v>#DIV/0!</v>
      </c>
      <c r="AP45" s="54"/>
    </row>
    <row r="46" spans="2:42" ht="15" customHeight="1" x14ac:dyDescent="0.45">
      <c r="B46" s="1"/>
      <c r="C46" s="1"/>
      <c r="D46" s="102" t="str">
        <f>'Plan plaque - Saisie lectures'!E23</f>
        <v>ECH N°6</v>
      </c>
      <c r="E46" s="103" t="str">
        <f t="shared" si="10"/>
        <v/>
      </c>
      <c r="F46" s="103" t="str">
        <f t="shared" si="11"/>
        <v/>
      </c>
      <c r="G46" s="104" t="str">
        <f t="shared" si="12"/>
        <v xml:space="preserve"> </v>
      </c>
      <c r="H46" s="105" t="str">
        <f t="shared" si="7"/>
        <v/>
      </c>
      <c r="I46" s="116"/>
      <c r="J46" s="105" t="str">
        <f t="shared" si="8"/>
        <v/>
      </c>
      <c r="K46" s="106" t="str">
        <f t="shared" si="13"/>
        <v/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54"/>
      <c r="AD46" s="54"/>
      <c r="AE46" s="54"/>
      <c r="AF46" s="54"/>
      <c r="AH46" s="78">
        <f>IF('Plan plaque - Saisie lectures'!E42&gt;SATURATION,"SATURATION",'Plan plaque - Saisie lectures'!E42)</f>
        <v>0</v>
      </c>
      <c r="AI46" s="78">
        <f>IF('Plan plaque - Saisie lectures'!F42&gt;SATURATION,"SATURATION",'Plan plaque - Saisie lectures'!F42)</f>
        <v>0</v>
      </c>
      <c r="AJ46" s="54" t="e">
        <f t="shared" si="14"/>
        <v>#VALUE!</v>
      </c>
      <c r="AK46" s="54">
        <f t="shared" si="15"/>
        <v>0</v>
      </c>
      <c r="AL46" s="101" t="str">
        <f t="shared" si="16"/>
        <v/>
      </c>
      <c r="AM46" s="54" t="e">
        <f t="shared" si="17"/>
        <v>#DIV/0!</v>
      </c>
      <c r="AP46" s="54"/>
    </row>
    <row r="47" spans="2:42" ht="15" customHeight="1" x14ac:dyDescent="0.45">
      <c r="B47" s="1"/>
      <c r="C47" s="1"/>
      <c r="D47" s="102" t="str">
        <f>'Plan plaque - Saisie lectures'!E24</f>
        <v>ECH N°7</v>
      </c>
      <c r="E47" s="103" t="str">
        <f t="shared" si="10"/>
        <v/>
      </c>
      <c r="F47" s="103" t="str">
        <f t="shared" si="11"/>
        <v/>
      </c>
      <c r="G47" s="104" t="str">
        <f t="shared" si="12"/>
        <v xml:space="preserve"> </v>
      </c>
      <c r="H47" s="105" t="str">
        <f t="shared" si="7"/>
        <v/>
      </c>
      <c r="I47" s="116"/>
      <c r="J47" s="105" t="str">
        <f t="shared" si="8"/>
        <v/>
      </c>
      <c r="K47" s="106" t="str">
        <f t="shared" si="13"/>
        <v/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54"/>
      <c r="AD47" s="54"/>
      <c r="AE47" s="54"/>
      <c r="AF47" s="54"/>
      <c r="AH47" s="78">
        <f>IF('Plan plaque - Saisie lectures'!E43&gt;SATURATION,"SATURATION",'Plan plaque - Saisie lectures'!E43)</f>
        <v>0</v>
      </c>
      <c r="AI47" s="78">
        <f>IF('Plan plaque - Saisie lectures'!F43&gt;SATURATION,"SATURATION",'Plan plaque - Saisie lectures'!F43)</f>
        <v>0</v>
      </c>
      <c r="AJ47" s="54" t="e">
        <f t="shared" si="14"/>
        <v>#VALUE!</v>
      </c>
      <c r="AK47" s="54">
        <f t="shared" si="15"/>
        <v>0</v>
      </c>
      <c r="AL47" s="101" t="str">
        <f t="shared" si="16"/>
        <v/>
      </c>
      <c r="AM47" s="54" t="e">
        <f t="shared" si="17"/>
        <v>#DIV/0!</v>
      </c>
      <c r="AP47" s="54"/>
    </row>
    <row r="48" spans="2:42" ht="15" customHeight="1" x14ac:dyDescent="0.45">
      <c r="B48" s="1"/>
      <c r="C48" s="1"/>
      <c r="D48" s="102" t="str">
        <f>'Plan plaque - Saisie lectures'!E25</f>
        <v>ECH N°8</v>
      </c>
      <c r="E48" s="103" t="str">
        <f t="shared" si="10"/>
        <v/>
      </c>
      <c r="F48" s="103" t="str">
        <f t="shared" si="11"/>
        <v/>
      </c>
      <c r="G48" s="104" t="str">
        <f t="shared" si="12"/>
        <v xml:space="preserve"> </v>
      </c>
      <c r="H48" s="105" t="str">
        <f t="shared" si="7"/>
        <v/>
      </c>
      <c r="I48" s="116"/>
      <c r="J48" s="105" t="str">
        <f t="shared" si="8"/>
        <v/>
      </c>
      <c r="K48" s="106" t="str">
        <f t="shared" si="13"/>
        <v/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54"/>
      <c r="AD48" s="54"/>
      <c r="AE48" s="54"/>
      <c r="AF48" s="54"/>
      <c r="AH48" s="78">
        <f>IF('Plan plaque - Saisie lectures'!E44&gt;SATURATION,"SATURATION",'Plan plaque - Saisie lectures'!E44)</f>
        <v>0</v>
      </c>
      <c r="AI48" s="78">
        <f>IF('Plan plaque - Saisie lectures'!F44&gt;SATURATION,"SATURATION",'Plan plaque - Saisie lectures'!F44)</f>
        <v>0</v>
      </c>
      <c r="AJ48" s="54" t="e">
        <f t="shared" si="14"/>
        <v>#VALUE!</v>
      </c>
      <c r="AK48" s="54">
        <f t="shared" si="15"/>
        <v>0</v>
      </c>
      <c r="AL48" s="101" t="str">
        <f t="shared" si="16"/>
        <v/>
      </c>
      <c r="AM48" s="54" t="e">
        <f t="shared" si="17"/>
        <v>#DIV/0!</v>
      </c>
      <c r="AP48" s="54"/>
    </row>
    <row r="49" spans="2:42" ht="15" customHeight="1" x14ac:dyDescent="0.45">
      <c r="B49" s="1"/>
      <c r="C49" s="1"/>
      <c r="D49" s="102" t="str">
        <f>'Plan plaque - Saisie lectures'!G18</f>
        <v>ECH N°9</v>
      </c>
      <c r="E49" s="103" t="str">
        <f t="shared" si="10"/>
        <v/>
      </c>
      <c r="F49" s="103" t="str">
        <f t="shared" si="11"/>
        <v/>
      </c>
      <c r="G49" s="104" t="str">
        <f t="shared" si="12"/>
        <v xml:space="preserve"> </v>
      </c>
      <c r="H49" s="105" t="str">
        <f t="shared" si="7"/>
        <v/>
      </c>
      <c r="I49" s="116"/>
      <c r="J49" s="105" t="str">
        <f t="shared" si="8"/>
        <v/>
      </c>
      <c r="K49" s="106" t="str">
        <f t="shared" si="13"/>
        <v/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54"/>
      <c r="AD49" s="54"/>
      <c r="AE49" s="54"/>
      <c r="AF49" s="54"/>
      <c r="AH49" s="78">
        <f>IF('Plan plaque - Saisie lectures'!G37&gt;SATURATION,"SATURATION",'Plan plaque - Saisie lectures'!G37)</f>
        <v>0</v>
      </c>
      <c r="AI49" s="78">
        <f>IF('Plan plaque - Saisie lectures'!H37&gt;SATURATION,"SATURATION",'Plan plaque - Saisie lectures'!H37)</f>
        <v>0</v>
      </c>
      <c r="AJ49" s="54" t="e">
        <f t="shared" si="14"/>
        <v>#VALUE!</v>
      </c>
      <c r="AK49" s="54">
        <f t="shared" si="15"/>
        <v>0</v>
      </c>
      <c r="AL49" s="101" t="str">
        <f t="shared" si="16"/>
        <v/>
      </c>
      <c r="AM49" s="54" t="e">
        <f t="shared" si="17"/>
        <v>#DIV/0!</v>
      </c>
      <c r="AP49" s="54"/>
    </row>
    <row r="50" spans="2:42" ht="15" customHeight="1" x14ac:dyDescent="0.45">
      <c r="B50" s="1"/>
      <c r="C50" s="1"/>
      <c r="D50" s="102" t="str">
        <f>'Plan plaque - Saisie lectures'!G19</f>
        <v>ECH N°10</v>
      </c>
      <c r="E50" s="103" t="str">
        <f t="shared" si="10"/>
        <v/>
      </c>
      <c r="F50" s="103" t="str">
        <f t="shared" si="11"/>
        <v/>
      </c>
      <c r="G50" s="104" t="str">
        <f t="shared" si="12"/>
        <v xml:space="preserve"> </v>
      </c>
      <c r="H50" s="105" t="str">
        <f t="shared" si="7"/>
        <v/>
      </c>
      <c r="I50" s="116"/>
      <c r="J50" s="105" t="str">
        <f t="shared" si="8"/>
        <v/>
      </c>
      <c r="K50" s="106" t="str">
        <f t="shared" si="13"/>
        <v/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54"/>
      <c r="AD50" s="54"/>
      <c r="AE50" s="54"/>
      <c r="AF50" s="54"/>
      <c r="AH50" s="78">
        <f>IF('Plan plaque - Saisie lectures'!G38&gt;SATURATION,"SATURATION",'Plan plaque - Saisie lectures'!G38)</f>
        <v>0</v>
      </c>
      <c r="AI50" s="78">
        <f>IF('Plan plaque - Saisie lectures'!H38&gt;SATURATION,"SATURATION",'Plan plaque - Saisie lectures'!H38)</f>
        <v>0</v>
      </c>
      <c r="AJ50" s="54" t="e">
        <f t="shared" si="14"/>
        <v>#VALUE!</v>
      </c>
      <c r="AK50" s="54">
        <f t="shared" si="15"/>
        <v>0</v>
      </c>
      <c r="AL50" s="101" t="str">
        <f t="shared" si="16"/>
        <v/>
      </c>
      <c r="AM50" s="54" t="e">
        <f t="shared" si="17"/>
        <v>#DIV/0!</v>
      </c>
      <c r="AP50" s="54"/>
    </row>
    <row r="51" spans="2:42" ht="15" customHeight="1" x14ac:dyDescent="0.45">
      <c r="B51" s="1"/>
      <c r="C51" s="1"/>
      <c r="D51" s="102" t="str">
        <f>'Plan plaque - Saisie lectures'!G20</f>
        <v>ECH N°11</v>
      </c>
      <c r="E51" s="103" t="str">
        <f t="shared" si="10"/>
        <v/>
      </c>
      <c r="F51" s="103" t="str">
        <f t="shared" si="11"/>
        <v/>
      </c>
      <c r="G51" s="104" t="str">
        <f t="shared" si="12"/>
        <v xml:space="preserve"> </v>
      </c>
      <c r="H51" s="105" t="str">
        <f t="shared" si="7"/>
        <v/>
      </c>
      <c r="I51" s="116"/>
      <c r="J51" s="105" t="str">
        <f t="shared" si="8"/>
        <v/>
      </c>
      <c r="K51" s="106" t="str">
        <f t="shared" si="13"/>
        <v/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54"/>
      <c r="AD51" s="54"/>
      <c r="AE51" s="54"/>
      <c r="AF51" s="54"/>
      <c r="AH51" s="78">
        <f>IF('Plan plaque - Saisie lectures'!G39&gt;SATURATION,"SATURATION",'Plan plaque - Saisie lectures'!G39)</f>
        <v>0</v>
      </c>
      <c r="AI51" s="78">
        <f>IF('Plan plaque - Saisie lectures'!H39&gt;SATURATION,"SATURATION",'Plan plaque - Saisie lectures'!H39)</f>
        <v>0</v>
      </c>
      <c r="AJ51" s="54" t="e">
        <f t="shared" si="14"/>
        <v>#VALUE!</v>
      </c>
      <c r="AK51" s="54">
        <f t="shared" si="15"/>
        <v>0</v>
      </c>
      <c r="AL51" s="101" t="str">
        <f t="shared" si="16"/>
        <v/>
      </c>
      <c r="AM51" s="54" t="e">
        <f t="shared" si="17"/>
        <v>#DIV/0!</v>
      </c>
      <c r="AP51" s="54"/>
    </row>
    <row r="52" spans="2:42" ht="15" customHeight="1" x14ac:dyDescent="0.45">
      <c r="B52" s="1"/>
      <c r="C52" s="1"/>
      <c r="D52" s="102" t="str">
        <f>'Plan plaque - Saisie lectures'!G21</f>
        <v>ECH N°12</v>
      </c>
      <c r="E52" s="103" t="str">
        <f t="shared" si="10"/>
        <v/>
      </c>
      <c r="F52" s="103" t="str">
        <f t="shared" si="11"/>
        <v/>
      </c>
      <c r="G52" s="104" t="str">
        <f t="shared" si="12"/>
        <v xml:space="preserve"> </v>
      </c>
      <c r="H52" s="105" t="str">
        <f t="shared" si="7"/>
        <v/>
      </c>
      <c r="I52" s="116"/>
      <c r="J52" s="105" t="str">
        <f t="shared" si="8"/>
        <v/>
      </c>
      <c r="K52" s="106" t="str">
        <f t="shared" si="13"/>
        <v/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54"/>
      <c r="AD52" s="54"/>
      <c r="AE52" s="54"/>
      <c r="AF52" s="54"/>
      <c r="AH52" s="78">
        <f>IF('Plan plaque - Saisie lectures'!G40&gt;SATURATION,"SATURATION",'Plan plaque - Saisie lectures'!G40)</f>
        <v>0</v>
      </c>
      <c r="AI52" s="78">
        <f>IF('Plan plaque - Saisie lectures'!H40&gt;SATURATION,"SATURATION",'Plan plaque - Saisie lectures'!H40)</f>
        <v>0</v>
      </c>
      <c r="AJ52" s="54" t="e">
        <f t="shared" si="14"/>
        <v>#VALUE!</v>
      </c>
      <c r="AK52" s="54">
        <f t="shared" si="15"/>
        <v>0</v>
      </c>
      <c r="AL52" s="101" t="str">
        <f t="shared" si="16"/>
        <v/>
      </c>
      <c r="AM52" s="54" t="e">
        <f t="shared" si="17"/>
        <v>#DIV/0!</v>
      </c>
      <c r="AP52" s="54"/>
    </row>
    <row r="53" spans="2:42" ht="15" customHeight="1" x14ac:dyDescent="0.45">
      <c r="B53" s="1"/>
      <c r="C53" s="1"/>
      <c r="D53" s="102" t="str">
        <f>'Plan plaque - Saisie lectures'!G22</f>
        <v>ECH N°13</v>
      </c>
      <c r="E53" s="103" t="str">
        <f t="shared" si="10"/>
        <v/>
      </c>
      <c r="F53" s="103" t="str">
        <f t="shared" si="11"/>
        <v/>
      </c>
      <c r="G53" s="104" t="str">
        <f t="shared" si="12"/>
        <v xml:space="preserve"> </v>
      </c>
      <c r="H53" s="105" t="str">
        <f t="shared" si="7"/>
        <v/>
      </c>
      <c r="I53" s="116"/>
      <c r="J53" s="105" t="str">
        <f t="shared" si="8"/>
        <v/>
      </c>
      <c r="K53" s="106" t="str">
        <f t="shared" si="13"/>
        <v/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54"/>
      <c r="AD53" s="54"/>
      <c r="AE53" s="54"/>
      <c r="AF53" s="54"/>
      <c r="AH53" s="78">
        <f>IF('Plan plaque - Saisie lectures'!G41&gt;SATURATION,"SATURATION",'Plan plaque - Saisie lectures'!G41)</f>
        <v>0</v>
      </c>
      <c r="AI53" s="78">
        <f>IF('Plan plaque - Saisie lectures'!H41&gt;SATURATION,"SATURATION",'Plan plaque - Saisie lectures'!H41)</f>
        <v>0</v>
      </c>
      <c r="AJ53" s="54" t="e">
        <f t="shared" si="14"/>
        <v>#VALUE!</v>
      </c>
      <c r="AK53" s="54">
        <f t="shared" si="15"/>
        <v>0</v>
      </c>
      <c r="AL53" s="101" t="str">
        <f t="shared" si="16"/>
        <v/>
      </c>
      <c r="AM53" s="54" t="e">
        <f t="shared" si="17"/>
        <v>#DIV/0!</v>
      </c>
      <c r="AP53" s="54"/>
    </row>
    <row r="54" spans="2:42" ht="15" customHeight="1" x14ac:dyDescent="0.45">
      <c r="B54" s="1"/>
      <c r="C54" s="1"/>
      <c r="D54" s="102" t="str">
        <f>'Plan plaque - Saisie lectures'!G23</f>
        <v>ECH N°14</v>
      </c>
      <c r="E54" s="103" t="str">
        <f t="shared" si="10"/>
        <v/>
      </c>
      <c r="F54" s="103" t="str">
        <f t="shared" si="11"/>
        <v/>
      </c>
      <c r="G54" s="104" t="str">
        <f t="shared" si="12"/>
        <v xml:space="preserve"> </v>
      </c>
      <c r="H54" s="105" t="str">
        <f t="shared" si="7"/>
        <v/>
      </c>
      <c r="I54" s="116"/>
      <c r="J54" s="105" t="str">
        <f t="shared" si="8"/>
        <v/>
      </c>
      <c r="K54" s="106" t="str">
        <f t="shared" si="13"/>
        <v/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54"/>
      <c r="AD54" s="54"/>
      <c r="AE54" s="54"/>
      <c r="AF54" s="54"/>
      <c r="AH54" s="78">
        <f>IF('Plan plaque - Saisie lectures'!G42&gt;SATURATION,"SATURATION",'Plan plaque - Saisie lectures'!G42)</f>
        <v>0</v>
      </c>
      <c r="AI54" s="78">
        <f>IF('Plan plaque - Saisie lectures'!H42&gt;SATURATION,"SATURATION",'Plan plaque - Saisie lectures'!H42)</f>
        <v>0</v>
      </c>
      <c r="AJ54" s="54" t="e">
        <f t="shared" si="14"/>
        <v>#VALUE!</v>
      </c>
      <c r="AK54" s="54">
        <f t="shared" si="15"/>
        <v>0</v>
      </c>
      <c r="AL54" s="101" t="str">
        <f t="shared" si="16"/>
        <v/>
      </c>
      <c r="AM54" s="54" t="e">
        <f t="shared" si="17"/>
        <v>#DIV/0!</v>
      </c>
      <c r="AP54" s="54"/>
    </row>
    <row r="55" spans="2:42" ht="15" customHeight="1" x14ac:dyDescent="0.45">
      <c r="B55" s="1"/>
      <c r="C55" s="1"/>
      <c r="D55" s="102" t="str">
        <f>'Plan plaque - Saisie lectures'!G24</f>
        <v>ECH N°15</v>
      </c>
      <c r="E55" s="103" t="str">
        <f t="shared" si="10"/>
        <v/>
      </c>
      <c r="F55" s="103" t="str">
        <f t="shared" si="11"/>
        <v/>
      </c>
      <c r="G55" s="104" t="str">
        <f t="shared" si="12"/>
        <v xml:space="preserve"> </v>
      </c>
      <c r="H55" s="105" t="str">
        <f t="shared" si="7"/>
        <v/>
      </c>
      <c r="I55" s="116"/>
      <c r="J55" s="105" t="str">
        <f t="shared" si="8"/>
        <v/>
      </c>
      <c r="K55" s="106" t="str">
        <f t="shared" si="13"/>
        <v/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54"/>
      <c r="AD55" s="54"/>
      <c r="AE55" s="54"/>
      <c r="AF55" s="54"/>
      <c r="AH55" s="78">
        <f>IF('Plan plaque - Saisie lectures'!G43&gt;SATURATION,"SATURATION",'Plan plaque - Saisie lectures'!G43)</f>
        <v>0</v>
      </c>
      <c r="AI55" s="78">
        <f>IF('Plan plaque - Saisie lectures'!H43&gt;SATURATION,"SATURATION",'Plan plaque - Saisie lectures'!H43)</f>
        <v>0</v>
      </c>
      <c r="AJ55" s="54" t="e">
        <f t="shared" si="14"/>
        <v>#VALUE!</v>
      </c>
      <c r="AK55" s="54">
        <f t="shared" si="15"/>
        <v>0</v>
      </c>
      <c r="AL55" s="101" t="str">
        <f t="shared" si="16"/>
        <v/>
      </c>
      <c r="AM55" s="54" t="e">
        <f t="shared" si="17"/>
        <v>#DIV/0!</v>
      </c>
      <c r="AP55" s="54"/>
    </row>
    <row r="56" spans="2:42" ht="15" customHeight="1" x14ac:dyDescent="0.45">
      <c r="B56" s="1"/>
      <c r="C56" s="1"/>
      <c r="D56" s="102" t="str">
        <f>'Plan plaque - Saisie lectures'!G25</f>
        <v>ECH N°16</v>
      </c>
      <c r="E56" s="103" t="str">
        <f t="shared" si="10"/>
        <v/>
      </c>
      <c r="F56" s="103" t="str">
        <f t="shared" si="11"/>
        <v/>
      </c>
      <c r="G56" s="104" t="str">
        <f t="shared" si="12"/>
        <v xml:space="preserve"> </v>
      </c>
      <c r="H56" s="105" t="str">
        <f t="shared" si="7"/>
        <v/>
      </c>
      <c r="I56" s="116"/>
      <c r="J56" s="105" t="str">
        <f t="shared" si="8"/>
        <v/>
      </c>
      <c r="K56" s="106" t="str">
        <f t="shared" si="13"/>
        <v/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54"/>
      <c r="AD56" s="54"/>
      <c r="AE56" s="54"/>
      <c r="AF56" s="54"/>
      <c r="AH56" s="78">
        <f>IF('Plan plaque - Saisie lectures'!G44&gt;SATURATION,"SATURATION",'Plan plaque - Saisie lectures'!G44)</f>
        <v>0</v>
      </c>
      <c r="AI56" s="78">
        <f>IF('Plan plaque - Saisie lectures'!H44&gt;SATURATION,"SATURATION",'Plan plaque - Saisie lectures'!H44)</f>
        <v>0</v>
      </c>
      <c r="AJ56" s="54" t="e">
        <f t="shared" si="14"/>
        <v>#VALUE!</v>
      </c>
      <c r="AK56" s="54">
        <f t="shared" si="15"/>
        <v>0</v>
      </c>
      <c r="AL56" s="101" t="str">
        <f t="shared" si="16"/>
        <v/>
      </c>
      <c r="AM56" s="54" t="e">
        <f t="shared" si="17"/>
        <v>#DIV/0!</v>
      </c>
      <c r="AP56" s="54"/>
    </row>
    <row r="57" spans="2:42" ht="15" customHeight="1" x14ac:dyDescent="0.45">
      <c r="B57" s="1"/>
      <c r="C57" s="1"/>
      <c r="D57" s="102" t="str">
        <f>'Plan plaque - Saisie lectures'!I18</f>
        <v>ECH N°17</v>
      </c>
      <c r="E57" s="103" t="str">
        <f t="shared" si="10"/>
        <v/>
      </c>
      <c r="F57" s="103" t="str">
        <f t="shared" si="11"/>
        <v/>
      </c>
      <c r="G57" s="104" t="str">
        <f t="shared" si="12"/>
        <v xml:space="preserve"> </v>
      </c>
      <c r="H57" s="105" t="str">
        <f t="shared" si="7"/>
        <v/>
      </c>
      <c r="I57" s="116"/>
      <c r="J57" s="105" t="str">
        <f t="shared" si="8"/>
        <v/>
      </c>
      <c r="K57" s="106" t="str">
        <f t="shared" si="13"/>
        <v/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54"/>
      <c r="AD57" s="54"/>
      <c r="AE57" s="54"/>
      <c r="AF57" s="54"/>
      <c r="AH57" s="78">
        <f>IF('Plan plaque - Saisie lectures'!I37&gt;SATURATION,"SATURATION",'Plan plaque - Saisie lectures'!I37)</f>
        <v>0</v>
      </c>
      <c r="AI57" s="78">
        <f>IF('Plan plaque - Saisie lectures'!J37&gt;SATURATION,"SATURATION",'Plan plaque - Saisie lectures'!J37)</f>
        <v>0</v>
      </c>
      <c r="AJ57" s="54" t="e">
        <f t="shared" si="14"/>
        <v>#VALUE!</v>
      </c>
      <c r="AK57" s="54">
        <f t="shared" si="15"/>
        <v>0</v>
      </c>
      <c r="AL57" s="101" t="str">
        <f t="shared" si="16"/>
        <v/>
      </c>
      <c r="AM57" s="54" t="e">
        <f t="shared" si="17"/>
        <v>#DIV/0!</v>
      </c>
      <c r="AP57" s="54"/>
    </row>
    <row r="58" spans="2:42" ht="15" customHeight="1" x14ac:dyDescent="0.45">
      <c r="B58" s="1"/>
      <c r="C58" s="1"/>
      <c r="D58" s="102" t="str">
        <f>'Plan plaque - Saisie lectures'!I19</f>
        <v>ECH N°18</v>
      </c>
      <c r="E58" s="103" t="str">
        <f t="shared" si="10"/>
        <v/>
      </c>
      <c r="F58" s="103" t="str">
        <f t="shared" si="11"/>
        <v/>
      </c>
      <c r="G58" s="104" t="str">
        <f t="shared" si="12"/>
        <v xml:space="preserve"> </v>
      </c>
      <c r="H58" s="105" t="str">
        <f t="shared" si="7"/>
        <v/>
      </c>
      <c r="I58" s="116"/>
      <c r="J58" s="105" t="str">
        <f t="shared" si="8"/>
        <v/>
      </c>
      <c r="K58" s="106" t="str">
        <f t="shared" si="13"/>
        <v/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54"/>
      <c r="AD58" s="54"/>
      <c r="AE58" s="54"/>
      <c r="AF58" s="54"/>
      <c r="AH58" s="78">
        <f>IF('Plan plaque - Saisie lectures'!I38&gt;SATURATION,"SATURATION",'Plan plaque - Saisie lectures'!I38)</f>
        <v>0</v>
      </c>
      <c r="AI58" s="78">
        <f>IF('Plan plaque - Saisie lectures'!J38&gt;SATURATION,"SATURATION",'Plan plaque - Saisie lectures'!J38)</f>
        <v>0</v>
      </c>
      <c r="AJ58" s="54" t="e">
        <f t="shared" si="14"/>
        <v>#VALUE!</v>
      </c>
      <c r="AK58" s="54">
        <f t="shared" si="15"/>
        <v>0</v>
      </c>
      <c r="AL58" s="101" t="str">
        <f t="shared" si="16"/>
        <v/>
      </c>
      <c r="AM58" s="54" t="e">
        <f t="shared" si="17"/>
        <v>#DIV/0!</v>
      </c>
      <c r="AP58" s="54"/>
    </row>
    <row r="59" spans="2:42" ht="15" customHeight="1" x14ac:dyDescent="0.45">
      <c r="B59" s="1"/>
      <c r="C59" s="1"/>
      <c r="D59" s="102" t="str">
        <f>'Plan plaque - Saisie lectures'!I20</f>
        <v>ECH N°19</v>
      </c>
      <c r="E59" s="103" t="str">
        <f t="shared" si="10"/>
        <v/>
      </c>
      <c r="F59" s="103" t="str">
        <f t="shared" si="11"/>
        <v/>
      </c>
      <c r="G59" s="104" t="str">
        <f t="shared" si="12"/>
        <v xml:space="preserve"> </v>
      </c>
      <c r="H59" s="105" t="str">
        <f t="shared" si="7"/>
        <v/>
      </c>
      <c r="I59" s="116"/>
      <c r="J59" s="105" t="str">
        <f t="shared" si="8"/>
        <v/>
      </c>
      <c r="K59" s="106" t="str">
        <f t="shared" si="13"/>
        <v/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54"/>
      <c r="AD59" s="54"/>
      <c r="AE59" s="54"/>
      <c r="AF59" s="54"/>
      <c r="AH59" s="78">
        <f>IF('Plan plaque - Saisie lectures'!I39&gt;SATURATION,"SATURATION",'Plan plaque - Saisie lectures'!I39)</f>
        <v>0</v>
      </c>
      <c r="AI59" s="78">
        <f>IF('Plan plaque - Saisie lectures'!J39&gt;SATURATION,"SATURATION",'Plan plaque - Saisie lectures'!J39)</f>
        <v>0</v>
      </c>
      <c r="AJ59" s="54" t="e">
        <f t="shared" si="14"/>
        <v>#VALUE!</v>
      </c>
      <c r="AK59" s="54">
        <f t="shared" si="15"/>
        <v>0</v>
      </c>
      <c r="AL59" s="101" t="str">
        <f t="shared" si="16"/>
        <v/>
      </c>
      <c r="AM59" s="54" t="e">
        <f t="shared" si="17"/>
        <v>#DIV/0!</v>
      </c>
      <c r="AP59" s="54"/>
    </row>
    <row r="60" spans="2:42" ht="15" customHeight="1" x14ac:dyDescent="0.45">
      <c r="B60" s="1"/>
      <c r="C60" s="1"/>
      <c r="D60" s="102" t="str">
        <f>'Plan plaque - Saisie lectures'!I21</f>
        <v>ECH N°20</v>
      </c>
      <c r="E60" s="103" t="str">
        <f t="shared" si="10"/>
        <v/>
      </c>
      <c r="F60" s="103" t="str">
        <f t="shared" si="11"/>
        <v/>
      </c>
      <c r="G60" s="104" t="str">
        <f t="shared" si="12"/>
        <v xml:space="preserve"> </v>
      </c>
      <c r="H60" s="105" t="str">
        <f t="shared" si="7"/>
        <v/>
      </c>
      <c r="I60" s="116"/>
      <c r="J60" s="105" t="str">
        <f t="shared" si="8"/>
        <v/>
      </c>
      <c r="K60" s="106" t="str">
        <f t="shared" si="13"/>
        <v/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54"/>
      <c r="AD60" s="54"/>
      <c r="AE60" s="54"/>
      <c r="AF60" s="54"/>
      <c r="AH60" s="78">
        <f>IF('Plan plaque - Saisie lectures'!I40&gt;SATURATION,"SATURATION",'Plan plaque - Saisie lectures'!I40)</f>
        <v>0</v>
      </c>
      <c r="AI60" s="78">
        <f>IF('Plan plaque - Saisie lectures'!J40&gt;SATURATION,"SATURATION",'Plan plaque - Saisie lectures'!J40)</f>
        <v>0</v>
      </c>
      <c r="AJ60" s="54" t="e">
        <f t="shared" si="14"/>
        <v>#VALUE!</v>
      </c>
      <c r="AK60" s="54">
        <f t="shared" si="15"/>
        <v>0</v>
      </c>
      <c r="AL60" s="101" t="str">
        <f t="shared" si="16"/>
        <v/>
      </c>
      <c r="AM60" s="54" t="e">
        <f t="shared" si="17"/>
        <v>#DIV/0!</v>
      </c>
      <c r="AP60" s="54"/>
    </row>
    <row r="61" spans="2:42" ht="15" customHeight="1" x14ac:dyDescent="0.45">
      <c r="B61" s="1"/>
      <c r="C61" s="1"/>
      <c r="D61" s="102" t="str">
        <f>'Plan plaque - Saisie lectures'!I22</f>
        <v>ECH N°21</v>
      </c>
      <c r="E61" s="103" t="str">
        <f t="shared" si="10"/>
        <v/>
      </c>
      <c r="F61" s="103" t="str">
        <f t="shared" si="11"/>
        <v/>
      </c>
      <c r="G61" s="104" t="str">
        <f t="shared" si="12"/>
        <v xml:space="preserve"> </v>
      </c>
      <c r="H61" s="105" t="str">
        <f t="shared" si="7"/>
        <v/>
      </c>
      <c r="I61" s="116"/>
      <c r="J61" s="105" t="str">
        <f t="shared" si="8"/>
        <v/>
      </c>
      <c r="K61" s="106" t="str">
        <f t="shared" si="13"/>
        <v/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54"/>
      <c r="AD61" s="54"/>
      <c r="AE61" s="54"/>
      <c r="AF61" s="54"/>
      <c r="AH61" s="78">
        <f>IF('Plan plaque - Saisie lectures'!I41&gt;SATURATION,"SATURATION",'Plan plaque - Saisie lectures'!I41)</f>
        <v>0</v>
      </c>
      <c r="AI61" s="78">
        <f>IF('Plan plaque - Saisie lectures'!J41&gt;SATURATION,"SATURATION",'Plan plaque - Saisie lectures'!J41)</f>
        <v>0</v>
      </c>
      <c r="AJ61" s="54" t="e">
        <f t="shared" si="14"/>
        <v>#VALUE!</v>
      </c>
      <c r="AK61" s="54">
        <f t="shared" si="15"/>
        <v>0</v>
      </c>
      <c r="AL61" s="101" t="str">
        <f t="shared" si="16"/>
        <v/>
      </c>
      <c r="AM61" s="54" t="e">
        <f t="shared" si="17"/>
        <v>#DIV/0!</v>
      </c>
      <c r="AP61" s="54"/>
    </row>
    <row r="62" spans="2:42" ht="15" customHeight="1" x14ac:dyDescent="0.45">
      <c r="B62" s="1"/>
      <c r="C62" s="1"/>
      <c r="D62" s="102" t="str">
        <f>'Plan plaque - Saisie lectures'!I23</f>
        <v>ECH N°22</v>
      </c>
      <c r="E62" s="103" t="str">
        <f t="shared" si="10"/>
        <v/>
      </c>
      <c r="F62" s="103" t="str">
        <f t="shared" si="11"/>
        <v/>
      </c>
      <c r="G62" s="104" t="str">
        <f t="shared" si="12"/>
        <v xml:space="preserve"> </v>
      </c>
      <c r="H62" s="105" t="str">
        <f t="shared" si="7"/>
        <v/>
      </c>
      <c r="I62" s="116"/>
      <c r="J62" s="105" t="str">
        <f t="shared" si="8"/>
        <v/>
      </c>
      <c r="K62" s="106" t="str">
        <f t="shared" si="13"/>
        <v/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54"/>
      <c r="AD62" s="54"/>
      <c r="AE62" s="54"/>
      <c r="AF62" s="54"/>
      <c r="AH62" s="78">
        <f>IF('Plan plaque - Saisie lectures'!I42&gt;SATURATION,"SATURATION",'Plan plaque - Saisie lectures'!I42)</f>
        <v>0</v>
      </c>
      <c r="AI62" s="78">
        <f>IF('Plan plaque - Saisie lectures'!J42&gt;SATURATION,"SATURATION",'Plan plaque - Saisie lectures'!J42)</f>
        <v>0</v>
      </c>
      <c r="AJ62" s="54" t="e">
        <f t="shared" si="14"/>
        <v>#VALUE!</v>
      </c>
      <c r="AK62" s="54">
        <f t="shared" si="15"/>
        <v>0</v>
      </c>
      <c r="AL62" s="101" t="str">
        <f t="shared" si="16"/>
        <v/>
      </c>
      <c r="AM62" s="54" t="e">
        <f t="shared" si="17"/>
        <v>#DIV/0!</v>
      </c>
      <c r="AP62" s="54"/>
    </row>
    <row r="63" spans="2:42" ht="15" customHeight="1" x14ac:dyDescent="0.45">
      <c r="B63" s="1"/>
      <c r="C63" s="1"/>
      <c r="D63" s="102" t="str">
        <f>'Plan plaque - Saisie lectures'!I24</f>
        <v>ECH N°23</v>
      </c>
      <c r="E63" s="103" t="str">
        <f t="shared" si="10"/>
        <v/>
      </c>
      <c r="F63" s="103" t="str">
        <f t="shared" si="11"/>
        <v/>
      </c>
      <c r="G63" s="104" t="str">
        <f t="shared" si="12"/>
        <v xml:space="preserve"> </v>
      </c>
      <c r="H63" s="105" t="str">
        <f t="shared" si="7"/>
        <v/>
      </c>
      <c r="I63" s="116"/>
      <c r="J63" s="105" t="str">
        <f t="shared" si="8"/>
        <v/>
      </c>
      <c r="K63" s="106" t="str">
        <f t="shared" si="13"/>
        <v/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54"/>
      <c r="AD63" s="54"/>
      <c r="AE63" s="54"/>
      <c r="AF63" s="54"/>
      <c r="AH63" s="78">
        <f>IF('Plan plaque - Saisie lectures'!I43&gt;SATURATION,"SATURATION",'Plan plaque - Saisie lectures'!I43)</f>
        <v>0</v>
      </c>
      <c r="AI63" s="78">
        <f>IF('Plan plaque - Saisie lectures'!J43&gt;SATURATION,"SATURATION",'Plan plaque - Saisie lectures'!J43)</f>
        <v>0</v>
      </c>
      <c r="AJ63" s="54" t="e">
        <f t="shared" si="14"/>
        <v>#VALUE!</v>
      </c>
      <c r="AK63" s="54">
        <f t="shared" si="15"/>
        <v>0</v>
      </c>
      <c r="AL63" s="101" t="str">
        <f t="shared" si="16"/>
        <v/>
      </c>
      <c r="AM63" s="54" t="e">
        <f t="shared" si="17"/>
        <v>#DIV/0!</v>
      </c>
      <c r="AP63" s="54"/>
    </row>
    <row r="64" spans="2:42" ht="15.75" customHeight="1" x14ac:dyDescent="0.45">
      <c r="B64" s="1"/>
      <c r="C64" s="1"/>
      <c r="D64" s="102" t="str">
        <f>'Plan plaque - Saisie lectures'!I25</f>
        <v>ECH N°24</v>
      </c>
      <c r="E64" s="103" t="str">
        <f t="shared" si="10"/>
        <v/>
      </c>
      <c r="F64" s="103" t="str">
        <f t="shared" si="11"/>
        <v/>
      </c>
      <c r="G64" s="104" t="str">
        <f t="shared" si="12"/>
        <v xml:space="preserve"> </v>
      </c>
      <c r="H64" s="105" t="str">
        <f t="shared" si="7"/>
        <v/>
      </c>
      <c r="I64" s="116"/>
      <c r="J64" s="105" t="str">
        <f t="shared" si="8"/>
        <v/>
      </c>
      <c r="K64" s="106" t="str">
        <f t="shared" si="13"/>
        <v/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54"/>
      <c r="AD64" s="54"/>
      <c r="AE64" s="54"/>
      <c r="AF64" s="54"/>
      <c r="AH64" s="78">
        <f>IF('Plan plaque - Saisie lectures'!I44&gt;SATURATION,"SATURATION",'Plan plaque - Saisie lectures'!I44)</f>
        <v>0</v>
      </c>
      <c r="AI64" s="78">
        <f>IF('Plan plaque - Saisie lectures'!J44&gt;SATURATION,"SATURATION",'Plan plaque - Saisie lectures'!J44)</f>
        <v>0</v>
      </c>
      <c r="AJ64" s="54" t="e">
        <f t="shared" si="14"/>
        <v>#VALUE!</v>
      </c>
      <c r="AK64" s="54">
        <f t="shared" si="15"/>
        <v>0</v>
      </c>
      <c r="AL64" s="101" t="str">
        <f t="shared" si="16"/>
        <v/>
      </c>
      <c r="AM64" s="54" t="e">
        <f t="shared" si="17"/>
        <v>#DIV/0!</v>
      </c>
      <c r="AP64" s="54"/>
    </row>
    <row r="65" spans="2:48" ht="15.75" customHeight="1" x14ac:dyDescent="0.45">
      <c r="B65" s="1"/>
      <c r="C65" s="1"/>
      <c r="D65" s="102" t="str">
        <f>'Plan plaque - Saisie lectures'!K18</f>
        <v>ECH N°25</v>
      </c>
      <c r="E65" s="103" t="str">
        <f t="shared" si="10"/>
        <v/>
      </c>
      <c r="F65" s="103" t="str">
        <f t="shared" si="11"/>
        <v/>
      </c>
      <c r="G65" s="104" t="str">
        <f t="shared" si="12"/>
        <v xml:space="preserve"> </v>
      </c>
      <c r="H65" s="105" t="str">
        <f t="shared" si="7"/>
        <v/>
      </c>
      <c r="I65" s="116"/>
      <c r="J65" s="105" t="str">
        <f t="shared" si="8"/>
        <v/>
      </c>
      <c r="K65" s="106" t="str">
        <f t="shared" si="13"/>
        <v/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54"/>
      <c r="AD65" s="54"/>
      <c r="AE65" s="54"/>
      <c r="AF65" s="54"/>
      <c r="AH65" s="78">
        <f>IF('Plan plaque - Saisie lectures'!K37&gt;SATURATION,"SATURATION",'Plan plaque - Saisie lectures'!K37)</f>
        <v>0</v>
      </c>
      <c r="AI65" s="78">
        <f>IF('Plan plaque - Saisie lectures'!L37&gt;SATURATION,"SATURATION",'Plan plaque - Saisie lectures'!L37)</f>
        <v>0</v>
      </c>
      <c r="AJ65" s="54" t="e">
        <f t="shared" si="14"/>
        <v>#VALUE!</v>
      </c>
      <c r="AK65" s="54">
        <f t="shared" si="15"/>
        <v>0</v>
      </c>
      <c r="AL65" s="101" t="str">
        <f t="shared" si="16"/>
        <v/>
      </c>
      <c r="AM65" s="54" t="e">
        <f t="shared" si="17"/>
        <v>#DIV/0!</v>
      </c>
      <c r="AP65" s="54"/>
    </row>
    <row r="66" spans="2:48" ht="16.5" customHeight="1" x14ac:dyDescent="0.45">
      <c r="B66" s="1"/>
      <c r="C66" s="1"/>
      <c r="D66" s="102" t="str">
        <f>'Plan plaque - Saisie lectures'!K19</f>
        <v>ECH N°26</v>
      </c>
      <c r="E66" s="103" t="str">
        <f t="shared" si="10"/>
        <v/>
      </c>
      <c r="F66" s="103" t="str">
        <f t="shared" si="11"/>
        <v/>
      </c>
      <c r="G66" s="104" t="str">
        <f t="shared" si="12"/>
        <v xml:space="preserve"> </v>
      </c>
      <c r="H66" s="105" t="str">
        <f t="shared" si="7"/>
        <v/>
      </c>
      <c r="I66" s="116"/>
      <c r="J66" s="105" t="str">
        <f t="shared" si="8"/>
        <v/>
      </c>
      <c r="K66" s="106" t="str">
        <f t="shared" si="13"/>
        <v/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54"/>
      <c r="AD66" s="54"/>
      <c r="AE66" s="54"/>
      <c r="AF66" s="54"/>
      <c r="AH66" s="78">
        <f>IF('Plan plaque - Saisie lectures'!K38&gt;SATURATION,"SATURATION",'Plan plaque - Saisie lectures'!K38)</f>
        <v>0</v>
      </c>
      <c r="AI66" s="78">
        <f>IF('Plan plaque - Saisie lectures'!L38&gt;SATURATION,"SATURATION",'Plan plaque - Saisie lectures'!L38)</f>
        <v>0</v>
      </c>
      <c r="AJ66" s="54" t="e">
        <f t="shared" si="14"/>
        <v>#VALUE!</v>
      </c>
      <c r="AK66" s="54">
        <f t="shared" si="15"/>
        <v>0</v>
      </c>
      <c r="AL66" s="101" t="str">
        <f t="shared" si="16"/>
        <v/>
      </c>
      <c r="AM66" s="54" t="e">
        <f t="shared" si="17"/>
        <v>#DIV/0!</v>
      </c>
      <c r="AP66" s="54"/>
    </row>
    <row r="67" spans="2:48" ht="15.75" customHeight="1" x14ac:dyDescent="0.45">
      <c r="B67" s="1"/>
      <c r="C67" s="1"/>
      <c r="D67" s="102" t="str">
        <f>'Plan plaque - Saisie lectures'!K20</f>
        <v>ECH N°27</v>
      </c>
      <c r="E67" s="103" t="str">
        <f t="shared" si="10"/>
        <v/>
      </c>
      <c r="F67" s="103" t="str">
        <f t="shared" si="11"/>
        <v/>
      </c>
      <c r="G67" s="104" t="str">
        <f t="shared" si="12"/>
        <v xml:space="preserve"> </v>
      </c>
      <c r="H67" s="105" t="str">
        <f t="shared" si="7"/>
        <v/>
      </c>
      <c r="I67" s="116"/>
      <c r="J67" s="105" t="str">
        <f t="shared" si="8"/>
        <v/>
      </c>
      <c r="K67" s="106" t="str">
        <f t="shared" si="13"/>
        <v/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54"/>
      <c r="AD67" s="54"/>
      <c r="AE67" s="54"/>
      <c r="AF67" s="54"/>
      <c r="AH67" s="78">
        <f>IF('Plan plaque - Saisie lectures'!K39&gt;SATURATION,"SATURATION",'Plan plaque - Saisie lectures'!K39)</f>
        <v>0</v>
      </c>
      <c r="AI67" s="78">
        <f>IF('Plan plaque - Saisie lectures'!L39&gt;SATURATION,"SATURATION",'Plan plaque - Saisie lectures'!L39)</f>
        <v>0</v>
      </c>
      <c r="AJ67" s="54" t="e">
        <f t="shared" si="14"/>
        <v>#VALUE!</v>
      </c>
      <c r="AK67" s="54">
        <f t="shared" si="15"/>
        <v>0</v>
      </c>
      <c r="AL67" s="101" t="str">
        <f t="shared" si="16"/>
        <v/>
      </c>
      <c r="AM67" s="54" t="e">
        <f t="shared" si="17"/>
        <v>#DIV/0!</v>
      </c>
      <c r="AP67" s="54"/>
    </row>
    <row r="68" spans="2:48" ht="15" customHeight="1" x14ac:dyDescent="0.45">
      <c r="B68" s="1"/>
      <c r="C68" s="1"/>
      <c r="D68" s="102" t="str">
        <f>'Plan plaque - Saisie lectures'!K21</f>
        <v>ECH N°28</v>
      </c>
      <c r="E68" s="103" t="str">
        <f t="shared" si="10"/>
        <v/>
      </c>
      <c r="F68" s="103" t="str">
        <f t="shared" si="11"/>
        <v/>
      </c>
      <c r="G68" s="104" t="str">
        <f t="shared" si="12"/>
        <v xml:space="preserve"> </v>
      </c>
      <c r="H68" s="105" t="str">
        <f t="shared" si="7"/>
        <v/>
      </c>
      <c r="I68" s="116"/>
      <c r="J68" s="105" t="str">
        <f t="shared" si="8"/>
        <v/>
      </c>
      <c r="K68" s="106" t="str">
        <f t="shared" si="13"/>
        <v/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54"/>
      <c r="AD68" s="54"/>
      <c r="AE68" s="54"/>
      <c r="AF68" s="54"/>
      <c r="AH68" s="78">
        <f>IF('Plan plaque - Saisie lectures'!K40&gt;SATURATION,"SATURATION",'Plan plaque - Saisie lectures'!K40)</f>
        <v>0</v>
      </c>
      <c r="AI68" s="78">
        <f>IF('Plan plaque - Saisie lectures'!L40&gt;SATURATION,"SATURATION",'Plan plaque - Saisie lectures'!L40)</f>
        <v>0</v>
      </c>
      <c r="AJ68" s="54" t="e">
        <f t="shared" si="14"/>
        <v>#VALUE!</v>
      </c>
      <c r="AK68" s="54">
        <f t="shared" si="15"/>
        <v>0</v>
      </c>
      <c r="AL68" s="101" t="str">
        <f t="shared" si="16"/>
        <v/>
      </c>
      <c r="AM68" s="54" t="e">
        <f t="shared" si="17"/>
        <v>#DIV/0!</v>
      </c>
      <c r="AP68" s="54"/>
    </row>
    <row r="69" spans="2:48" ht="15" customHeight="1" x14ac:dyDescent="0.45">
      <c r="B69" s="1"/>
      <c r="C69" s="1"/>
      <c r="D69" s="102" t="str">
        <f>'Plan plaque - Saisie lectures'!K22</f>
        <v>ECH N°29</v>
      </c>
      <c r="E69" s="103" t="str">
        <f t="shared" si="10"/>
        <v/>
      </c>
      <c r="F69" s="103" t="str">
        <f t="shared" si="11"/>
        <v/>
      </c>
      <c r="G69" s="104" t="str">
        <f t="shared" si="12"/>
        <v xml:space="preserve"> </v>
      </c>
      <c r="H69" s="105" t="str">
        <f t="shared" si="7"/>
        <v/>
      </c>
      <c r="I69" s="116"/>
      <c r="J69" s="105" t="str">
        <f t="shared" si="8"/>
        <v/>
      </c>
      <c r="K69" s="106" t="str">
        <f t="shared" si="13"/>
        <v/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54"/>
      <c r="AD69" s="54"/>
      <c r="AE69" s="54"/>
      <c r="AF69" s="54"/>
      <c r="AH69" s="78">
        <f>IF('Plan plaque - Saisie lectures'!K41&gt;SATURATION,"SATURATION",'Plan plaque - Saisie lectures'!K41)</f>
        <v>0</v>
      </c>
      <c r="AI69" s="78">
        <f>IF('Plan plaque - Saisie lectures'!L41&gt;SATURATION,"SATURATION",'Plan plaque - Saisie lectures'!L41)</f>
        <v>0</v>
      </c>
      <c r="AJ69" s="54" t="e">
        <f t="shared" si="14"/>
        <v>#VALUE!</v>
      </c>
      <c r="AK69" s="54">
        <f t="shared" si="15"/>
        <v>0</v>
      </c>
      <c r="AL69" s="101" t="str">
        <f t="shared" si="16"/>
        <v/>
      </c>
      <c r="AM69" s="54" t="e">
        <f t="shared" si="17"/>
        <v>#DIV/0!</v>
      </c>
      <c r="AP69" s="54"/>
    </row>
    <row r="70" spans="2:48" ht="15" customHeight="1" x14ac:dyDescent="0.45">
      <c r="B70" s="1"/>
      <c r="C70" s="1"/>
      <c r="D70" s="102" t="str">
        <f>'Plan plaque - Saisie lectures'!K23</f>
        <v>ECH N°30</v>
      </c>
      <c r="E70" s="103" t="str">
        <f t="shared" si="10"/>
        <v/>
      </c>
      <c r="F70" s="103" t="str">
        <f t="shared" si="11"/>
        <v/>
      </c>
      <c r="G70" s="104" t="str">
        <f t="shared" si="12"/>
        <v xml:space="preserve"> </v>
      </c>
      <c r="H70" s="105" t="str">
        <f t="shared" si="7"/>
        <v/>
      </c>
      <c r="I70" s="116"/>
      <c r="J70" s="105" t="str">
        <f t="shared" si="8"/>
        <v/>
      </c>
      <c r="K70" s="106" t="str">
        <f t="shared" si="13"/>
        <v/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54"/>
      <c r="AD70" s="54"/>
      <c r="AE70" s="54"/>
      <c r="AF70" s="54"/>
      <c r="AH70" s="78">
        <f>IF('Plan plaque - Saisie lectures'!K42&gt;SATURATION,"SATURATION",'Plan plaque - Saisie lectures'!K42)</f>
        <v>0</v>
      </c>
      <c r="AI70" s="78">
        <f>IF('Plan plaque - Saisie lectures'!L42&gt;SATURATION,"SATURATION",'Plan plaque - Saisie lectures'!L42)</f>
        <v>0</v>
      </c>
      <c r="AJ70" s="54" t="e">
        <f t="shared" si="14"/>
        <v>#VALUE!</v>
      </c>
      <c r="AK70" s="54">
        <f t="shared" si="15"/>
        <v>0</v>
      </c>
      <c r="AL70" s="101" t="str">
        <f t="shared" si="16"/>
        <v/>
      </c>
      <c r="AM70" s="54" t="e">
        <f t="shared" si="17"/>
        <v>#DIV/0!</v>
      </c>
      <c r="AP70" s="54"/>
    </row>
    <row r="71" spans="2:48" ht="15" customHeight="1" x14ac:dyDescent="0.45">
      <c r="B71" s="1"/>
      <c r="C71" s="1"/>
      <c r="D71" s="102" t="str">
        <f>'Plan plaque - Saisie lectures'!K24</f>
        <v>ECH N°31</v>
      </c>
      <c r="E71" s="103" t="str">
        <f t="shared" si="10"/>
        <v/>
      </c>
      <c r="F71" s="103" t="str">
        <f t="shared" si="11"/>
        <v/>
      </c>
      <c r="G71" s="104" t="str">
        <f t="shared" si="12"/>
        <v xml:space="preserve"> </v>
      </c>
      <c r="H71" s="105" t="str">
        <f t="shared" si="7"/>
        <v/>
      </c>
      <c r="I71" s="116"/>
      <c r="J71" s="105" t="str">
        <f t="shared" si="8"/>
        <v/>
      </c>
      <c r="K71" s="106" t="str">
        <f t="shared" si="13"/>
        <v/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54"/>
      <c r="AD71" s="54"/>
      <c r="AE71" s="54"/>
      <c r="AF71" s="54"/>
      <c r="AH71" s="78">
        <f>IF('Plan plaque - Saisie lectures'!K43&gt;SATURATION,"SATURATION",'Plan plaque - Saisie lectures'!K43)</f>
        <v>0</v>
      </c>
      <c r="AI71" s="78">
        <f>IF('Plan plaque - Saisie lectures'!L43&gt;SATURATION,"SATURATION",'Plan plaque - Saisie lectures'!L43)</f>
        <v>0</v>
      </c>
      <c r="AJ71" s="54" t="e">
        <f t="shared" si="14"/>
        <v>#VALUE!</v>
      </c>
      <c r="AK71" s="54">
        <f t="shared" si="15"/>
        <v>0</v>
      </c>
      <c r="AL71" s="101" t="str">
        <f t="shared" si="16"/>
        <v/>
      </c>
      <c r="AM71" s="54" t="e">
        <f t="shared" si="17"/>
        <v>#DIV/0!</v>
      </c>
      <c r="AP71" s="54"/>
    </row>
    <row r="72" spans="2:48" ht="15" customHeight="1" x14ac:dyDescent="0.45">
      <c r="B72" s="1"/>
      <c r="C72" s="1"/>
      <c r="D72" s="102" t="str">
        <f>'Plan plaque - Saisie lectures'!K25</f>
        <v>ECH N°32</v>
      </c>
      <c r="E72" s="103" t="str">
        <f t="shared" si="10"/>
        <v/>
      </c>
      <c r="F72" s="103" t="str">
        <f t="shared" si="11"/>
        <v/>
      </c>
      <c r="G72" s="104" t="str">
        <f t="shared" si="12"/>
        <v xml:space="preserve"> </v>
      </c>
      <c r="H72" s="105" t="str">
        <f t="shared" si="7"/>
        <v/>
      </c>
      <c r="I72" s="116"/>
      <c r="J72" s="105" t="str">
        <f t="shared" si="8"/>
        <v/>
      </c>
      <c r="K72" s="106" t="str">
        <f t="shared" si="13"/>
        <v/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54"/>
      <c r="AD72" s="54"/>
      <c r="AE72" s="54"/>
      <c r="AF72" s="54"/>
      <c r="AH72" s="78">
        <f>IF('Plan plaque - Saisie lectures'!K44&gt;SATURATION,"SATURATION",'Plan plaque - Saisie lectures'!K44)</f>
        <v>0</v>
      </c>
      <c r="AI72" s="78">
        <f>IF('Plan plaque - Saisie lectures'!L44&gt;SATURATION,"SATURATION",'Plan plaque - Saisie lectures'!L44)</f>
        <v>0</v>
      </c>
      <c r="AJ72" s="54" t="e">
        <f t="shared" si="14"/>
        <v>#VALUE!</v>
      </c>
      <c r="AK72" s="54">
        <f t="shared" si="15"/>
        <v>0</v>
      </c>
      <c r="AL72" s="101" t="str">
        <f t="shared" si="16"/>
        <v/>
      </c>
      <c r="AM72" s="54" t="e">
        <f t="shared" si="17"/>
        <v>#DIV/0!</v>
      </c>
      <c r="AP72" s="54"/>
    </row>
    <row r="73" spans="2:48" ht="15" customHeight="1" x14ac:dyDescent="0.45">
      <c r="B73" s="1"/>
      <c r="C73" s="1"/>
      <c r="D73" s="102" t="str">
        <f>'Plan plaque - Saisie lectures'!M18</f>
        <v>ECH N°33</v>
      </c>
      <c r="E73" s="103" t="str">
        <f t="shared" si="10"/>
        <v/>
      </c>
      <c r="F73" s="103" t="str">
        <f t="shared" si="11"/>
        <v/>
      </c>
      <c r="G73" s="104" t="str">
        <f t="shared" si="12"/>
        <v xml:space="preserve"> </v>
      </c>
      <c r="H73" s="105" t="str">
        <f t="shared" si="7"/>
        <v/>
      </c>
      <c r="I73" s="116"/>
      <c r="J73" s="105" t="str">
        <f t="shared" si="8"/>
        <v/>
      </c>
      <c r="K73" s="106" t="str">
        <f t="shared" si="13"/>
        <v/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54"/>
      <c r="AD73" s="54"/>
      <c r="AE73" s="54"/>
      <c r="AF73" s="54"/>
      <c r="AH73" s="78">
        <f>IF('Plan plaque - Saisie lectures'!M37&gt;SATURATION,"SATURATION",'Plan plaque - Saisie lectures'!M37)</f>
        <v>0</v>
      </c>
      <c r="AI73" s="78">
        <f>IF('Plan plaque - Saisie lectures'!N37&gt;SATURATION,"SATURATION",'Plan plaque - Saisie lectures'!N37)</f>
        <v>0</v>
      </c>
      <c r="AJ73" s="54" t="e">
        <f t="shared" si="14"/>
        <v>#VALUE!</v>
      </c>
      <c r="AK73" s="54">
        <f t="shared" si="15"/>
        <v>0</v>
      </c>
      <c r="AL73" s="101" t="str">
        <f t="shared" si="16"/>
        <v/>
      </c>
      <c r="AM73" s="54" t="e">
        <f t="shared" si="17"/>
        <v>#DIV/0!</v>
      </c>
      <c r="AP73" s="54"/>
    </row>
    <row r="74" spans="2:48" ht="15" customHeight="1" x14ac:dyDescent="0.45">
      <c r="B74" s="1"/>
      <c r="C74" s="1"/>
      <c r="D74" s="102" t="str">
        <f>'Plan plaque - Saisie lectures'!M19</f>
        <v>ECH N°34</v>
      </c>
      <c r="E74" s="103" t="str">
        <f t="shared" si="10"/>
        <v/>
      </c>
      <c r="F74" s="103" t="str">
        <f t="shared" si="11"/>
        <v/>
      </c>
      <c r="G74" s="104" t="str">
        <f t="shared" si="12"/>
        <v xml:space="preserve"> </v>
      </c>
      <c r="H74" s="105" t="str">
        <f t="shared" si="7"/>
        <v/>
      </c>
      <c r="I74" s="116"/>
      <c r="J74" s="105" t="str">
        <f t="shared" si="8"/>
        <v/>
      </c>
      <c r="K74" s="106" t="str">
        <f t="shared" si="13"/>
        <v/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54"/>
      <c r="AD74" s="54"/>
      <c r="AE74" s="54"/>
      <c r="AF74" s="54"/>
      <c r="AH74" s="78">
        <f>IF('Plan plaque - Saisie lectures'!M38&gt;SATURATION,"SATURATION",'Plan plaque - Saisie lectures'!M38)</f>
        <v>0</v>
      </c>
      <c r="AI74" s="78">
        <f>IF('Plan plaque - Saisie lectures'!N38&gt;SATURATION,"SATURATION",'Plan plaque - Saisie lectures'!N38)</f>
        <v>0</v>
      </c>
      <c r="AJ74" s="54" t="e">
        <f t="shared" si="14"/>
        <v>#VALUE!</v>
      </c>
      <c r="AK74" s="54">
        <f t="shared" si="15"/>
        <v>0</v>
      </c>
      <c r="AL74" s="101" t="str">
        <f t="shared" si="16"/>
        <v/>
      </c>
      <c r="AM74" s="54" t="e">
        <f t="shared" si="17"/>
        <v>#DIV/0!</v>
      </c>
      <c r="AP74" s="54"/>
    </row>
    <row r="75" spans="2:48" ht="15" customHeight="1" x14ac:dyDescent="0.45">
      <c r="B75" s="1"/>
      <c r="C75" s="1"/>
      <c r="D75" s="102" t="str">
        <f>'Plan plaque - Saisie lectures'!M20</f>
        <v>ECH N°35</v>
      </c>
      <c r="E75" s="103" t="str">
        <f t="shared" si="10"/>
        <v/>
      </c>
      <c r="F75" s="103" t="str">
        <f t="shared" si="11"/>
        <v/>
      </c>
      <c r="G75" s="104" t="str">
        <f t="shared" si="12"/>
        <v xml:space="preserve"> </v>
      </c>
      <c r="H75" s="105" t="str">
        <f t="shared" si="7"/>
        <v/>
      </c>
      <c r="I75" s="116"/>
      <c r="J75" s="105" t="str">
        <f t="shared" si="8"/>
        <v/>
      </c>
      <c r="K75" s="106" t="str">
        <f t="shared" si="13"/>
        <v/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54"/>
      <c r="AD75" s="54"/>
      <c r="AE75" s="54"/>
      <c r="AF75" s="54"/>
      <c r="AH75" s="78">
        <f>IF('Plan plaque - Saisie lectures'!M39&gt;SATURATION,"SATURATION",'Plan plaque - Saisie lectures'!M39)</f>
        <v>0</v>
      </c>
      <c r="AI75" s="78">
        <f>IF('Plan plaque - Saisie lectures'!N39&gt;SATURATION,"SATURATION",'Plan plaque - Saisie lectures'!N39)</f>
        <v>0</v>
      </c>
      <c r="AJ75" s="54" t="e">
        <f t="shared" si="14"/>
        <v>#VALUE!</v>
      </c>
      <c r="AK75" s="54">
        <f t="shared" si="15"/>
        <v>0</v>
      </c>
      <c r="AL75" s="101" t="str">
        <f t="shared" si="16"/>
        <v/>
      </c>
      <c r="AM75" s="54" t="e">
        <f t="shared" si="17"/>
        <v>#DIV/0!</v>
      </c>
      <c r="AP75" s="54"/>
    </row>
    <row r="76" spans="2:48" ht="15" customHeight="1" x14ac:dyDescent="0.45">
      <c r="B76" s="1"/>
      <c r="C76" s="1"/>
      <c r="D76" s="102" t="str">
        <f>'Plan plaque - Saisie lectures'!M21</f>
        <v>ECH N°36</v>
      </c>
      <c r="E76" s="103" t="str">
        <f t="shared" si="10"/>
        <v/>
      </c>
      <c r="F76" s="103" t="str">
        <f t="shared" si="11"/>
        <v/>
      </c>
      <c r="G76" s="104" t="str">
        <f t="shared" si="12"/>
        <v xml:space="preserve"> </v>
      </c>
      <c r="H76" s="105" t="str">
        <f t="shared" si="7"/>
        <v/>
      </c>
      <c r="I76" s="116"/>
      <c r="J76" s="105" t="str">
        <f t="shared" si="8"/>
        <v/>
      </c>
      <c r="K76" s="106" t="str">
        <f t="shared" si="13"/>
        <v/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54"/>
      <c r="AD76" s="54"/>
      <c r="AE76" s="54"/>
      <c r="AF76" s="54"/>
      <c r="AH76" s="78">
        <f>IF('Plan plaque - Saisie lectures'!M40&gt;SATURATION,"SATURATION",'Plan plaque - Saisie lectures'!M40)</f>
        <v>0</v>
      </c>
      <c r="AI76" s="78">
        <f>IF('Plan plaque - Saisie lectures'!N40&gt;SATURATION,"SATURATION",'Plan plaque - Saisie lectures'!N40)</f>
        <v>0</v>
      </c>
      <c r="AJ76" s="54" t="e">
        <f t="shared" si="14"/>
        <v>#VALUE!</v>
      </c>
      <c r="AK76" s="54">
        <f t="shared" si="15"/>
        <v>0</v>
      </c>
      <c r="AL76" s="101" t="str">
        <f t="shared" si="16"/>
        <v/>
      </c>
      <c r="AM76" s="54" t="e">
        <f t="shared" si="17"/>
        <v>#DIV/0!</v>
      </c>
      <c r="AP76" s="54"/>
    </row>
    <row r="77" spans="2:48" ht="15" customHeight="1" x14ac:dyDescent="0.45">
      <c r="B77" s="1"/>
      <c r="C77" s="1"/>
      <c r="D77" s="102" t="str">
        <f>'Plan plaque - Saisie lectures'!M22</f>
        <v>ECH N°37</v>
      </c>
      <c r="E77" s="103" t="str">
        <f t="shared" si="10"/>
        <v/>
      </c>
      <c r="F77" s="103" t="str">
        <f t="shared" si="11"/>
        <v/>
      </c>
      <c r="G77" s="104" t="str">
        <f t="shared" si="12"/>
        <v xml:space="preserve"> </v>
      </c>
      <c r="H77" s="105" t="str">
        <f t="shared" si="7"/>
        <v/>
      </c>
      <c r="I77" s="116"/>
      <c r="J77" s="105" t="str">
        <f t="shared" si="8"/>
        <v/>
      </c>
      <c r="K77" s="106" t="str">
        <f t="shared" si="13"/>
        <v/>
      </c>
      <c r="AC77" s="54"/>
      <c r="AD77" s="54"/>
      <c r="AE77" s="54"/>
      <c r="AF77" s="54"/>
      <c r="AH77" s="78">
        <f>IF('Plan plaque - Saisie lectures'!M41&gt;SATURATION,"SATURATION",'Plan plaque - Saisie lectures'!M41)</f>
        <v>0</v>
      </c>
      <c r="AI77" s="78">
        <f>IF('Plan plaque - Saisie lectures'!N41&gt;SATURATION,"SATURATION",'Plan plaque - Saisie lectures'!N41)</f>
        <v>0</v>
      </c>
      <c r="AJ77" s="54" t="e">
        <f t="shared" si="14"/>
        <v>#VALUE!</v>
      </c>
      <c r="AK77" s="54">
        <f t="shared" si="15"/>
        <v>0</v>
      </c>
      <c r="AL77" s="101" t="str">
        <f t="shared" si="16"/>
        <v/>
      </c>
      <c r="AM77" s="54" t="e">
        <f t="shared" si="17"/>
        <v>#DIV/0!</v>
      </c>
      <c r="AP77" s="54"/>
    </row>
    <row r="78" spans="2:48" ht="15" customHeight="1" x14ac:dyDescent="0.45">
      <c r="B78" s="1"/>
      <c r="C78" s="1"/>
      <c r="D78" s="102" t="str">
        <f>'Plan plaque - Saisie lectures'!M23</f>
        <v>ECH N°38</v>
      </c>
      <c r="E78" s="103" t="str">
        <f t="shared" si="10"/>
        <v/>
      </c>
      <c r="F78" s="103" t="str">
        <f t="shared" si="11"/>
        <v/>
      </c>
      <c r="G78" s="104" t="str">
        <f t="shared" si="12"/>
        <v xml:space="preserve"> </v>
      </c>
      <c r="H78" s="105" t="str">
        <f t="shared" si="7"/>
        <v/>
      </c>
      <c r="I78" s="116"/>
      <c r="J78" s="105" t="str">
        <f t="shared" si="8"/>
        <v/>
      </c>
      <c r="K78" s="106" t="str">
        <f t="shared" si="13"/>
        <v/>
      </c>
      <c r="AC78" s="54"/>
      <c r="AD78" s="54"/>
      <c r="AE78" s="54"/>
      <c r="AF78" s="54"/>
      <c r="AH78" s="78">
        <f>IF('Plan plaque - Saisie lectures'!M42&gt;SATURATION,"SATURATION",'Plan plaque - Saisie lectures'!M42)</f>
        <v>0</v>
      </c>
      <c r="AI78" s="78">
        <f>IF('Plan plaque - Saisie lectures'!N42&gt;SATURATION,"SATURATION",'Plan plaque - Saisie lectures'!N42)</f>
        <v>0</v>
      </c>
      <c r="AJ78" s="54" t="e">
        <f t="shared" si="14"/>
        <v>#VALUE!</v>
      </c>
      <c r="AK78" s="54">
        <f t="shared" si="15"/>
        <v>0</v>
      </c>
      <c r="AL78" s="101" t="str">
        <f t="shared" si="16"/>
        <v/>
      </c>
      <c r="AM78" s="54" t="e">
        <f t="shared" si="17"/>
        <v>#DIV/0!</v>
      </c>
      <c r="AP78" s="54"/>
    </row>
    <row r="79" spans="2:48" s="1" customFormat="1" ht="15" customHeight="1" x14ac:dyDescent="0.45">
      <c r="D79" s="102" t="str">
        <f>'Plan plaque - Saisie lectures'!M24</f>
        <v>ECH N°39</v>
      </c>
      <c r="E79" s="103" t="str">
        <f t="shared" si="10"/>
        <v/>
      </c>
      <c r="F79" s="103" t="str">
        <f t="shared" si="11"/>
        <v/>
      </c>
      <c r="G79" s="104" t="str">
        <f t="shared" si="12"/>
        <v xml:space="preserve"> </v>
      </c>
      <c r="H79" s="105" t="str">
        <f t="shared" si="7"/>
        <v/>
      </c>
      <c r="I79" s="116"/>
      <c r="J79" s="105" t="str">
        <f t="shared" si="8"/>
        <v/>
      </c>
      <c r="K79" s="106" t="str">
        <f t="shared" si="13"/>
        <v/>
      </c>
      <c r="L79" s="53"/>
      <c r="M79" s="53"/>
      <c r="N79" s="54"/>
      <c r="O79" s="54"/>
      <c r="P79" s="54"/>
      <c r="Q79" s="54"/>
      <c r="R79" s="54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54"/>
      <c r="AD79" s="54"/>
      <c r="AE79" s="54"/>
      <c r="AF79" s="54"/>
      <c r="AG79" s="54"/>
      <c r="AH79" s="78">
        <f>IF('Plan plaque - Saisie lectures'!M43&gt;SATURATION,"SATURATION",'Plan plaque - Saisie lectures'!M43)</f>
        <v>0</v>
      </c>
      <c r="AI79" s="78">
        <f>IF('Plan plaque - Saisie lectures'!N43&gt;SATURATION,"SATURATION",'Plan plaque - Saisie lectures'!N43)</f>
        <v>0</v>
      </c>
      <c r="AJ79" s="54" t="e">
        <f t="shared" si="14"/>
        <v>#VALUE!</v>
      </c>
      <c r="AK79" s="54">
        <f t="shared" si="15"/>
        <v>0</v>
      </c>
      <c r="AL79" s="101" t="str">
        <f t="shared" si="16"/>
        <v/>
      </c>
      <c r="AM79" s="54" t="e">
        <f t="shared" si="17"/>
        <v>#DIV/0!</v>
      </c>
      <c r="AN79" s="54"/>
      <c r="AO79" s="54"/>
      <c r="AP79" s="54"/>
      <c r="AQ79" s="25"/>
      <c r="AR79" s="25"/>
      <c r="AS79" s="25"/>
      <c r="AT79" s="25"/>
      <c r="AU79" s="25"/>
      <c r="AV79" s="25"/>
    </row>
    <row r="80" spans="2:48" s="1" customFormat="1" ht="19.8" thickBot="1" x14ac:dyDescent="0.5">
      <c r="D80" s="107" t="str">
        <f>'Plan plaque - Saisie lectures'!M25</f>
        <v>ECH N°40</v>
      </c>
      <c r="E80" s="108" t="str">
        <f t="shared" si="10"/>
        <v/>
      </c>
      <c r="F80" s="108" t="str">
        <f t="shared" si="11"/>
        <v/>
      </c>
      <c r="G80" s="109" t="str">
        <f t="shared" si="12"/>
        <v xml:space="preserve"> </v>
      </c>
      <c r="H80" s="110" t="str">
        <f t="shared" si="7"/>
        <v/>
      </c>
      <c r="I80" s="117"/>
      <c r="J80" s="110" t="str">
        <f t="shared" si="8"/>
        <v/>
      </c>
      <c r="K80" s="106" t="str">
        <f t="shared" si="13"/>
        <v/>
      </c>
      <c r="L80" s="53"/>
      <c r="M80" s="53"/>
      <c r="N80" s="54"/>
      <c r="O80" s="54"/>
      <c r="P80" s="54"/>
      <c r="Q80" s="54"/>
      <c r="R80" s="54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54"/>
      <c r="AD80" s="54"/>
      <c r="AE80" s="54"/>
      <c r="AF80" s="54"/>
      <c r="AG80" s="54"/>
      <c r="AH80" s="78">
        <f>IF('Plan plaque - Saisie lectures'!M44&gt;SATURATION,"SATURATION",'Plan plaque - Saisie lectures'!M44)</f>
        <v>0</v>
      </c>
      <c r="AI80" s="78">
        <f>IF('Plan plaque - Saisie lectures'!N44&gt;SATURATION,"SATURATION",'Plan plaque - Saisie lectures'!N44)</f>
        <v>0</v>
      </c>
      <c r="AJ80" s="54" t="e">
        <f t="shared" si="14"/>
        <v>#VALUE!</v>
      </c>
      <c r="AK80" s="54">
        <f t="shared" si="15"/>
        <v>0</v>
      </c>
      <c r="AL80" s="101" t="str">
        <f t="shared" si="16"/>
        <v/>
      </c>
      <c r="AM80" s="54" t="e">
        <f t="shared" si="17"/>
        <v>#DIV/0!</v>
      </c>
      <c r="AN80" s="54"/>
      <c r="AO80" s="54"/>
      <c r="AP80" s="54"/>
      <c r="AQ80" s="25"/>
      <c r="AR80" s="25"/>
      <c r="AS80" s="25"/>
      <c r="AT80" s="25"/>
      <c r="AU80" s="25"/>
      <c r="AV80" s="25"/>
    </row>
    <row r="81" spans="2:48" s="1" customFormat="1" x14ac:dyDescent="0.3">
      <c r="H81" s="52"/>
      <c r="J81" s="53"/>
      <c r="K81" s="53"/>
      <c r="L81" s="53"/>
      <c r="M81" s="53"/>
      <c r="N81" s="54"/>
      <c r="O81" s="54"/>
      <c r="P81" s="54"/>
      <c r="Q81" s="54"/>
      <c r="R81" s="54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54"/>
      <c r="AD81" s="54"/>
      <c r="AE81" s="54"/>
      <c r="AF81" s="54"/>
      <c r="AG81" s="54"/>
      <c r="AH81" s="78"/>
      <c r="AI81" s="78"/>
      <c r="AJ81" s="54"/>
      <c r="AK81" s="54"/>
      <c r="AL81" s="54"/>
      <c r="AM81" s="54"/>
      <c r="AN81" s="54"/>
      <c r="AO81" s="54"/>
      <c r="AP81" s="54"/>
      <c r="AQ81" s="25"/>
      <c r="AR81" s="25"/>
      <c r="AS81" s="25"/>
      <c r="AT81" s="25"/>
      <c r="AU81" s="25"/>
      <c r="AV81" s="25"/>
    </row>
    <row r="82" spans="2:48" s="1" customFormat="1" x14ac:dyDescent="0.3">
      <c r="H82" s="52"/>
      <c r="J82" s="53"/>
      <c r="K82" s="53"/>
      <c r="L82" s="53"/>
      <c r="M82" s="53"/>
      <c r="N82" s="54"/>
      <c r="O82" s="54"/>
      <c r="P82" s="54"/>
      <c r="Q82" s="54"/>
      <c r="R82" s="54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54"/>
      <c r="AD82" s="54"/>
      <c r="AE82" s="54"/>
      <c r="AF82" s="54"/>
      <c r="AG82" s="54"/>
      <c r="AH82" s="78"/>
      <c r="AI82" s="78"/>
      <c r="AJ82" s="54"/>
      <c r="AK82" s="54"/>
      <c r="AL82" s="54"/>
      <c r="AM82" s="54"/>
      <c r="AN82" s="54"/>
      <c r="AO82" s="54"/>
      <c r="AP82" s="54"/>
      <c r="AQ82" s="25"/>
      <c r="AR82" s="25"/>
      <c r="AS82" s="25"/>
      <c r="AT82" s="25"/>
      <c r="AU82" s="25"/>
      <c r="AV82" s="25"/>
    </row>
    <row r="83" spans="2:48" s="1" customFormat="1" x14ac:dyDescent="0.3">
      <c r="H83" s="52"/>
      <c r="J83" s="53"/>
      <c r="K83" s="53"/>
      <c r="L83" s="53"/>
      <c r="M83" s="53"/>
      <c r="N83" s="54"/>
      <c r="O83" s="54"/>
      <c r="P83" s="54"/>
      <c r="Q83" s="54"/>
      <c r="R83" s="54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54"/>
      <c r="AD83" s="54"/>
      <c r="AE83" s="54"/>
      <c r="AF83" s="54"/>
      <c r="AG83" s="54"/>
      <c r="AH83" s="78"/>
      <c r="AI83" s="78"/>
      <c r="AJ83" s="54"/>
      <c r="AK83" s="54"/>
      <c r="AL83" s="54"/>
      <c r="AM83" s="54"/>
      <c r="AN83" s="54"/>
      <c r="AO83" s="54"/>
      <c r="AP83" s="54"/>
      <c r="AQ83" s="25"/>
      <c r="AR83" s="25"/>
      <c r="AS83" s="25"/>
      <c r="AT83" s="25"/>
      <c r="AU83" s="25"/>
      <c r="AV83" s="25"/>
    </row>
    <row r="84" spans="2:48" s="1" customFormat="1" x14ac:dyDescent="0.3">
      <c r="B84" s="111" t="s">
        <v>109</v>
      </c>
      <c r="C84" s="4" t="s">
        <v>110</v>
      </c>
      <c r="D84" s="4"/>
      <c r="E84" s="4"/>
      <c r="F84" s="4"/>
      <c r="G84" s="4"/>
      <c r="H84" s="52"/>
      <c r="J84" s="53"/>
      <c r="K84" s="53"/>
      <c r="L84" s="53"/>
      <c r="M84" s="53"/>
      <c r="N84" s="54"/>
      <c r="O84" s="54"/>
      <c r="P84" s="54"/>
      <c r="Q84" s="54"/>
      <c r="R84" s="54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25"/>
      <c r="AR84" s="25"/>
      <c r="AS84" s="25"/>
      <c r="AT84" s="25"/>
      <c r="AU84" s="25"/>
      <c r="AV84" s="25"/>
    </row>
    <row r="85" spans="2:48" s="1" customFormat="1" x14ac:dyDescent="0.3">
      <c r="C85" s="4"/>
      <c r="D85" s="139"/>
      <c r="E85" s="4"/>
      <c r="F85" s="4"/>
      <c r="G85" s="4"/>
      <c r="H85" s="52"/>
      <c r="J85" s="53"/>
      <c r="K85" s="53"/>
      <c r="L85" s="53"/>
      <c r="M85" s="53"/>
      <c r="N85" s="54"/>
      <c r="O85" s="54"/>
      <c r="P85" s="54"/>
      <c r="Q85" s="54"/>
      <c r="R85" s="54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25"/>
      <c r="AR85" s="25"/>
      <c r="AS85" s="25"/>
      <c r="AT85" s="25"/>
      <c r="AU85" s="25"/>
      <c r="AV85" s="25"/>
    </row>
    <row r="86" spans="2:48" s="1" customFormat="1" x14ac:dyDescent="0.3">
      <c r="B86" s="111" t="s">
        <v>111</v>
      </c>
      <c r="C86" s="4" t="s">
        <v>110</v>
      </c>
      <c r="D86" s="139"/>
      <c r="E86" s="4"/>
      <c r="F86" s="4"/>
      <c r="G86" s="4"/>
      <c r="H86" s="52"/>
      <c r="J86" s="53"/>
      <c r="K86" s="53"/>
      <c r="L86" s="53"/>
      <c r="M86" s="53"/>
      <c r="N86" s="54"/>
      <c r="O86" s="54"/>
      <c r="P86" s="54"/>
      <c r="Q86" s="54"/>
      <c r="R86" s="54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25"/>
      <c r="AR86" s="25"/>
      <c r="AS86" s="25"/>
      <c r="AT86" s="25"/>
      <c r="AU86" s="25"/>
      <c r="AV86" s="25"/>
    </row>
    <row r="87" spans="2:48" s="1" customFormat="1" ht="18" x14ac:dyDescent="0.35">
      <c r="H87" s="52"/>
      <c r="J87" s="112" t="s">
        <v>112</v>
      </c>
      <c r="K87" s="53"/>
      <c r="L87" s="53"/>
      <c r="M87" s="53"/>
      <c r="N87" s="54"/>
      <c r="O87" s="54"/>
      <c r="P87" s="54"/>
      <c r="Q87" s="54"/>
      <c r="R87" s="54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54"/>
      <c r="AH87" s="54"/>
      <c r="AI87" s="54"/>
      <c r="AJ87" s="54"/>
      <c r="AK87" s="54"/>
      <c r="AL87" s="54"/>
      <c r="AM87" s="54"/>
      <c r="AN87" s="54"/>
      <c r="AO87" s="54"/>
      <c r="AP87" s="25"/>
      <c r="AQ87" s="25"/>
      <c r="AR87" s="25"/>
      <c r="AS87" s="25"/>
      <c r="AT87" s="25"/>
      <c r="AU87" s="25"/>
      <c r="AV87" s="25"/>
    </row>
    <row r="88" spans="2:48" s="1" customFormat="1" x14ac:dyDescent="0.3">
      <c r="H88" s="52"/>
      <c r="J88" s="53"/>
      <c r="K88" s="53"/>
      <c r="L88" s="53"/>
      <c r="M88" s="53"/>
      <c r="N88" s="54"/>
      <c r="O88" s="54"/>
      <c r="P88" s="54"/>
      <c r="Q88" s="54"/>
      <c r="R88" s="54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54"/>
      <c r="AH88" s="54"/>
      <c r="AI88" s="54"/>
      <c r="AJ88" s="54"/>
      <c r="AK88" s="54"/>
      <c r="AL88" s="54"/>
      <c r="AM88" s="54"/>
      <c r="AN88" s="54"/>
      <c r="AO88" s="54"/>
      <c r="AP88" s="25"/>
      <c r="AQ88" s="25"/>
      <c r="AR88" s="25"/>
      <c r="AS88" s="25"/>
      <c r="AT88" s="25"/>
      <c r="AU88" s="25"/>
      <c r="AV88" s="25"/>
    </row>
    <row r="89" spans="2:48" s="1" customFormat="1" x14ac:dyDescent="0.3">
      <c r="H89" s="52"/>
      <c r="J89" s="53"/>
      <c r="K89" s="53"/>
      <c r="L89" s="53"/>
      <c r="M89" s="53"/>
      <c r="N89" s="54"/>
      <c r="O89" s="54"/>
      <c r="P89" s="54"/>
      <c r="Q89" s="54"/>
      <c r="R89" s="54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54"/>
      <c r="AH89" s="54"/>
      <c r="AI89" s="54"/>
      <c r="AJ89" s="54"/>
      <c r="AK89" s="54"/>
      <c r="AL89" s="54"/>
      <c r="AM89" s="54"/>
      <c r="AN89" s="54"/>
      <c r="AO89" s="54"/>
      <c r="AP89" s="25"/>
      <c r="AQ89" s="25"/>
      <c r="AR89" s="25"/>
      <c r="AS89" s="25"/>
      <c r="AT89" s="25"/>
      <c r="AU89" s="25"/>
      <c r="AV89" s="25"/>
    </row>
    <row r="90" spans="2:48" s="1" customFormat="1" x14ac:dyDescent="0.3">
      <c r="H90" s="52"/>
      <c r="J90" s="53"/>
      <c r="K90" s="53"/>
      <c r="L90" s="53"/>
      <c r="M90" s="53"/>
      <c r="N90" s="54"/>
      <c r="O90" s="54"/>
      <c r="P90" s="54"/>
      <c r="Q90" s="54"/>
      <c r="R90" s="54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54"/>
      <c r="AH90" s="54"/>
      <c r="AI90" s="54"/>
      <c r="AJ90" s="54"/>
      <c r="AK90" s="54"/>
      <c r="AL90" s="54"/>
      <c r="AM90" s="54"/>
      <c r="AN90" s="54"/>
      <c r="AO90" s="54"/>
      <c r="AP90" s="25"/>
      <c r="AQ90" s="25"/>
      <c r="AR90" s="25"/>
      <c r="AS90" s="25"/>
      <c r="AT90" s="25"/>
      <c r="AU90" s="25"/>
      <c r="AV90" s="25"/>
    </row>
    <row r="91" spans="2:48" s="1" customFormat="1" x14ac:dyDescent="0.3">
      <c r="H91" s="52"/>
      <c r="J91" s="53"/>
      <c r="K91" s="53"/>
      <c r="L91" s="53"/>
      <c r="M91" s="53"/>
      <c r="N91" s="54"/>
      <c r="O91" s="54"/>
      <c r="P91" s="54"/>
      <c r="Q91" s="54"/>
      <c r="R91" s="54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54"/>
      <c r="AH91" s="54"/>
      <c r="AI91" s="54"/>
      <c r="AJ91" s="54"/>
      <c r="AK91" s="54"/>
      <c r="AL91" s="54"/>
      <c r="AM91" s="54"/>
      <c r="AN91" s="54"/>
      <c r="AO91" s="54"/>
      <c r="AP91" s="25"/>
      <c r="AQ91" s="25"/>
      <c r="AR91" s="25"/>
      <c r="AS91" s="25"/>
      <c r="AT91" s="25"/>
      <c r="AU91" s="25"/>
      <c r="AV91" s="25"/>
    </row>
    <row r="92" spans="2:48" s="1" customFormat="1" x14ac:dyDescent="0.3">
      <c r="H92" s="52"/>
      <c r="J92" s="53"/>
      <c r="K92" s="53"/>
      <c r="L92" s="53"/>
      <c r="M92" s="53"/>
      <c r="N92" s="54"/>
      <c r="O92" s="54"/>
      <c r="P92" s="54"/>
      <c r="Q92" s="54"/>
      <c r="R92" s="54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54"/>
      <c r="AH92" s="54"/>
      <c r="AI92" s="54"/>
      <c r="AJ92" s="54"/>
      <c r="AK92" s="54"/>
      <c r="AL92" s="54"/>
      <c r="AM92" s="54"/>
      <c r="AN92" s="54"/>
      <c r="AO92" s="54"/>
      <c r="AP92" s="25"/>
      <c r="AQ92" s="25"/>
      <c r="AR92" s="25"/>
      <c r="AS92" s="25"/>
      <c r="AT92" s="25"/>
      <c r="AU92" s="25"/>
      <c r="AV92" s="25"/>
    </row>
    <row r="93" spans="2:48" s="1" customFormat="1" x14ac:dyDescent="0.3">
      <c r="H93" s="52"/>
      <c r="J93" s="53"/>
      <c r="K93" s="53"/>
      <c r="L93" s="53"/>
      <c r="M93" s="53"/>
      <c r="N93" s="54"/>
      <c r="O93" s="54"/>
      <c r="P93" s="54"/>
      <c r="Q93" s="54"/>
      <c r="R93" s="54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54"/>
      <c r="AH93" s="54"/>
      <c r="AI93" s="54"/>
      <c r="AJ93" s="54"/>
      <c r="AK93" s="54"/>
      <c r="AL93" s="54"/>
      <c r="AM93" s="54"/>
      <c r="AN93" s="54"/>
      <c r="AO93" s="54"/>
      <c r="AP93" s="25"/>
      <c r="AQ93" s="25"/>
      <c r="AR93" s="25"/>
      <c r="AS93" s="25"/>
      <c r="AT93" s="25"/>
      <c r="AU93" s="25"/>
      <c r="AV93" s="25"/>
    </row>
    <row r="94" spans="2:48" s="1" customFormat="1" x14ac:dyDescent="0.3">
      <c r="H94" s="52"/>
      <c r="J94" s="53"/>
      <c r="K94" s="53"/>
      <c r="L94" s="53"/>
      <c r="M94" s="53"/>
      <c r="N94" s="54"/>
      <c r="O94" s="54"/>
      <c r="P94" s="54"/>
      <c r="Q94" s="54"/>
      <c r="R94" s="54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54"/>
      <c r="AH94" s="54"/>
      <c r="AI94" s="54"/>
      <c r="AJ94" s="54"/>
      <c r="AK94" s="54"/>
      <c r="AL94" s="54"/>
      <c r="AM94" s="54"/>
      <c r="AN94" s="54"/>
      <c r="AO94" s="54"/>
      <c r="AP94" s="25"/>
      <c r="AQ94" s="25"/>
      <c r="AR94" s="25"/>
      <c r="AS94" s="25"/>
      <c r="AT94" s="25"/>
      <c r="AU94" s="25"/>
      <c r="AV94" s="25"/>
    </row>
    <row r="95" spans="2:48" s="1" customFormat="1" x14ac:dyDescent="0.3">
      <c r="H95" s="52"/>
      <c r="J95" s="53"/>
      <c r="K95" s="53"/>
      <c r="L95" s="53"/>
      <c r="M95" s="53"/>
      <c r="N95" s="54"/>
      <c r="O95" s="54"/>
      <c r="P95" s="54"/>
      <c r="Q95" s="54"/>
      <c r="R95" s="54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54"/>
      <c r="AH95" s="54"/>
      <c r="AI95" s="54"/>
      <c r="AJ95" s="54"/>
      <c r="AK95" s="54"/>
      <c r="AL95" s="54"/>
      <c r="AM95" s="54"/>
      <c r="AN95" s="54"/>
      <c r="AO95" s="54"/>
      <c r="AP95" s="25"/>
      <c r="AQ95" s="25"/>
      <c r="AR95" s="25"/>
      <c r="AS95" s="25"/>
      <c r="AT95" s="25"/>
      <c r="AU95" s="25"/>
      <c r="AV95" s="25"/>
    </row>
    <row r="96" spans="2:48" s="1" customFormat="1" x14ac:dyDescent="0.3">
      <c r="H96" s="52"/>
      <c r="J96" s="53"/>
      <c r="K96" s="53"/>
      <c r="L96" s="53"/>
      <c r="M96" s="53"/>
      <c r="N96" s="54"/>
      <c r="O96" s="54"/>
      <c r="P96" s="54"/>
      <c r="Q96" s="54"/>
      <c r="R96" s="54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54"/>
      <c r="AH96" s="54"/>
      <c r="AI96" s="54"/>
      <c r="AJ96" s="54"/>
      <c r="AK96" s="54"/>
      <c r="AL96" s="54"/>
      <c r="AM96" s="54"/>
      <c r="AN96" s="54"/>
      <c r="AO96" s="54"/>
      <c r="AP96" s="25"/>
      <c r="AQ96" s="25"/>
      <c r="AR96" s="25"/>
      <c r="AS96" s="25"/>
      <c r="AT96" s="25"/>
      <c r="AU96" s="25"/>
      <c r="AV96" s="25"/>
    </row>
    <row r="97" spans="8:48" s="1" customFormat="1" x14ac:dyDescent="0.3">
      <c r="H97" s="52"/>
      <c r="J97" s="53"/>
      <c r="K97" s="53"/>
      <c r="L97" s="53"/>
      <c r="M97" s="53"/>
      <c r="N97" s="54"/>
      <c r="O97" s="54"/>
      <c r="P97" s="54"/>
      <c r="Q97" s="54"/>
      <c r="R97" s="54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54"/>
      <c r="AH97" s="54"/>
      <c r="AI97" s="54"/>
      <c r="AJ97" s="54"/>
      <c r="AK97" s="54"/>
      <c r="AL97" s="54"/>
      <c r="AM97" s="54"/>
      <c r="AN97" s="54"/>
      <c r="AO97" s="54"/>
      <c r="AP97" s="25"/>
      <c r="AQ97" s="25"/>
      <c r="AR97" s="25"/>
      <c r="AS97" s="25"/>
      <c r="AT97" s="25"/>
      <c r="AU97" s="25"/>
      <c r="AV97" s="25"/>
    </row>
    <row r="98" spans="8:48" s="1" customFormat="1" x14ac:dyDescent="0.3">
      <c r="H98" s="52"/>
      <c r="J98" s="53"/>
      <c r="K98" s="53"/>
      <c r="L98" s="53"/>
      <c r="M98" s="53"/>
      <c r="N98" s="54"/>
      <c r="O98" s="54"/>
      <c r="P98" s="54"/>
      <c r="Q98" s="54"/>
      <c r="R98" s="54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54"/>
      <c r="AH98" s="54"/>
      <c r="AI98" s="54"/>
      <c r="AJ98" s="54"/>
      <c r="AK98" s="54"/>
      <c r="AL98" s="54"/>
      <c r="AM98" s="54"/>
      <c r="AN98" s="54"/>
      <c r="AO98" s="54"/>
      <c r="AP98" s="25"/>
      <c r="AQ98" s="25"/>
      <c r="AR98" s="25"/>
      <c r="AS98" s="25"/>
      <c r="AT98" s="25"/>
      <c r="AU98" s="25"/>
      <c r="AV98" s="25"/>
    </row>
    <row r="99" spans="8:48" s="1" customFormat="1" x14ac:dyDescent="0.3">
      <c r="H99" s="52"/>
      <c r="J99" s="53"/>
      <c r="K99" s="53"/>
      <c r="L99" s="53"/>
      <c r="M99" s="53"/>
      <c r="N99" s="54"/>
      <c r="O99" s="54"/>
      <c r="P99" s="54"/>
      <c r="Q99" s="54"/>
      <c r="R99" s="54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54"/>
      <c r="AH99" s="54"/>
      <c r="AI99" s="54"/>
      <c r="AJ99" s="54"/>
      <c r="AK99" s="54"/>
      <c r="AL99" s="54"/>
      <c r="AM99" s="54"/>
      <c r="AN99" s="54"/>
      <c r="AO99" s="54"/>
      <c r="AP99" s="25"/>
      <c r="AQ99" s="25"/>
      <c r="AR99" s="25"/>
      <c r="AS99" s="25"/>
      <c r="AT99" s="25"/>
      <c r="AU99" s="25"/>
      <c r="AV99" s="25"/>
    </row>
    <row r="100" spans="8:48" s="1" customFormat="1" x14ac:dyDescent="0.3">
      <c r="H100" s="52"/>
      <c r="J100" s="53"/>
      <c r="K100" s="53"/>
      <c r="L100" s="53"/>
      <c r="M100" s="53"/>
      <c r="N100" s="54"/>
      <c r="O100" s="54"/>
      <c r="P100" s="54"/>
      <c r="Q100" s="54"/>
      <c r="R100" s="54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54"/>
      <c r="AH100" s="54"/>
      <c r="AI100" s="54"/>
      <c r="AJ100" s="54"/>
      <c r="AK100" s="54"/>
      <c r="AL100" s="54"/>
      <c r="AM100" s="54"/>
      <c r="AN100" s="54"/>
      <c r="AO100" s="54"/>
      <c r="AP100" s="25"/>
      <c r="AQ100" s="25"/>
      <c r="AR100" s="25"/>
      <c r="AS100" s="25"/>
      <c r="AT100" s="25"/>
      <c r="AU100" s="25"/>
      <c r="AV100" s="25"/>
    </row>
    <row r="101" spans="8:48" s="1" customFormat="1" x14ac:dyDescent="0.3">
      <c r="H101" s="52"/>
      <c r="J101" s="53"/>
      <c r="K101" s="53"/>
      <c r="L101" s="53"/>
      <c r="M101" s="53"/>
      <c r="N101" s="54"/>
      <c r="O101" s="54"/>
      <c r="P101" s="54"/>
      <c r="Q101" s="54"/>
      <c r="R101" s="54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54"/>
      <c r="AH101" s="54"/>
      <c r="AI101" s="54"/>
      <c r="AJ101" s="54"/>
      <c r="AK101" s="54"/>
      <c r="AL101" s="54"/>
      <c r="AM101" s="54"/>
      <c r="AN101" s="54"/>
      <c r="AO101" s="54"/>
      <c r="AP101" s="25"/>
      <c r="AQ101" s="25"/>
      <c r="AR101" s="25"/>
      <c r="AS101" s="25"/>
      <c r="AT101" s="25"/>
      <c r="AU101" s="25"/>
      <c r="AV101" s="25"/>
    </row>
    <row r="102" spans="8:48" s="1" customFormat="1" x14ac:dyDescent="0.3">
      <c r="H102" s="52"/>
      <c r="J102" s="53"/>
      <c r="K102" s="53"/>
      <c r="L102" s="53"/>
      <c r="M102" s="53"/>
      <c r="N102" s="54"/>
      <c r="O102" s="54"/>
      <c r="P102" s="54"/>
      <c r="Q102" s="54"/>
      <c r="R102" s="54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54"/>
      <c r="AH102" s="54"/>
      <c r="AI102" s="54"/>
      <c r="AJ102" s="54"/>
      <c r="AK102" s="54"/>
      <c r="AL102" s="54"/>
      <c r="AM102" s="54"/>
      <c r="AN102" s="54"/>
      <c r="AO102" s="54"/>
      <c r="AP102" s="25"/>
      <c r="AQ102" s="25"/>
      <c r="AR102" s="25"/>
      <c r="AS102" s="25"/>
      <c r="AT102" s="25"/>
      <c r="AU102" s="25"/>
      <c r="AV102" s="25"/>
    </row>
    <row r="103" spans="8:48" s="1" customFormat="1" x14ac:dyDescent="0.3">
      <c r="H103" s="52"/>
      <c r="J103" s="53"/>
      <c r="K103" s="53"/>
      <c r="L103" s="53"/>
      <c r="M103" s="53"/>
      <c r="N103" s="54"/>
      <c r="O103" s="54"/>
      <c r="P103" s="54"/>
      <c r="Q103" s="54"/>
      <c r="R103" s="54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54"/>
      <c r="AH103" s="54"/>
      <c r="AI103" s="54"/>
      <c r="AJ103" s="54"/>
      <c r="AK103" s="54"/>
      <c r="AL103" s="54"/>
      <c r="AM103" s="54"/>
      <c r="AN103" s="54"/>
      <c r="AO103" s="54"/>
      <c r="AP103" s="25"/>
      <c r="AQ103" s="25"/>
      <c r="AR103" s="25"/>
      <c r="AS103" s="25"/>
      <c r="AT103" s="25"/>
      <c r="AU103" s="25"/>
      <c r="AV103" s="25"/>
    </row>
    <row r="104" spans="8:48" s="1" customFormat="1" x14ac:dyDescent="0.3">
      <c r="H104" s="52"/>
      <c r="J104" s="53"/>
      <c r="K104" s="53"/>
      <c r="L104" s="53"/>
      <c r="M104" s="53"/>
      <c r="N104" s="54"/>
      <c r="O104" s="54"/>
      <c r="P104" s="54"/>
      <c r="Q104" s="54"/>
      <c r="R104" s="54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54"/>
      <c r="AH104" s="54"/>
      <c r="AI104" s="54"/>
      <c r="AJ104" s="54"/>
      <c r="AK104" s="54"/>
      <c r="AL104" s="54"/>
      <c r="AM104" s="54"/>
      <c r="AN104" s="54"/>
      <c r="AO104" s="54"/>
      <c r="AP104" s="25"/>
      <c r="AQ104" s="25"/>
      <c r="AR104" s="25"/>
      <c r="AS104" s="25"/>
      <c r="AT104" s="25"/>
      <c r="AU104" s="25"/>
      <c r="AV104" s="25"/>
    </row>
    <row r="105" spans="8:48" s="1" customFormat="1" x14ac:dyDescent="0.3">
      <c r="H105" s="52"/>
      <c r="J105" s="53"/>
      <c r="K105" s="53"/>
      <c r="L105" s="53"/>
      <c r="M105" s="53"/>
      <c r="N105" s="54"/>
      <c r="O105" s="54"/>
      <c r="P105" s="54"/>
      <c r="Q105" s="54"/>
      <c r="R105" s="54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54"/>
      <c r="AH105" s="54"/>
      <c r="AI105" s="54"/>
      <c r="AJ105" s="54"/>
      <c r="AK105" s="54"/>
      <c r="AL105" s="54"/>
      <c r="AM105" s="54"/>
      <c r="AN105" s="54"/>
      <c r="AO105" s="54"/>
      <c r="AP105" s="25"/>
      <c r="AQ105" s="25"/>
      <c r="AR105" s="25"/>
      <c r="AS105" s="25"/>
      <c r="AT105" s="25"/>
      <c r="AU105" s="25"/>
      <c r="AV105" s="25"/>
    </row>
    <row r="106" spans="8:48" s="1" customFormat="1" x14ac:dyDescent="0.3">
      <c r="H106" s="52"/>
      <c r="J106" s="53"/>
      <c r="K106" s="53"/>
      <c r="L106" s="53"/>
      <c r="M106" s="53"/>
      <c r="N106" s="54"/>
      <c r="O106" s="54"/>
      <c r="P106" s="54"/>
      <c r="Q106" s="54"/>
      <c r="R106" s="54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54"/>
      <c r="AH106" s="54"/>
      <c r="AI106" s="54"/>
      <c r="AJ106" s="54"/>
      <c r="AK106" s="54"/>
      <c r="AL106" s="54"/>
      <c r="AM106" s="54"/>
      <c r="AN106" s="54"/>
      <c r="AO106" s="54"/>
      <c r="AP106" s="25"/>
      <c r="AQ106" s="25"/>
      <c r="AR106" s="25"/>
      <c r="AS106" s="25"/>
      <c r="AT106" s="25"/>
      <c r="AU106" s="25"/>
      <c r="AV106" s="25"/>
    </row>
    <row r="107" spans="8:48" s="1" customFormat="1" x14ac:dyDescent="0.3">
      <c r="H107" s="52"/>
      <c r="J107" s="53"/>
      <c r="K107" s="53"/>
      <c r="L107" s="53"/>
      <c r="M107" s="53"/>
      <c r="N107" s="54"/>
      <c r="O107" s="54"/>
      <c r="P107" s="54"/>
      <c r="Q107" s="54"/>
      <c r="R107" s="54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54"/>
      <c r="AH107" s="54"/>
      <c r="AI107" s="54"/>
      <c r="AJ107" s="54"/>
      <c r="AK107" s="54"/>
      <c r="AL107" s="54"/>
      <c r="AM107" s="54"/>
      <c r="AN107" s="54"/>
      <c r="AO107" s="54"/>
      <c r="AP107" s="25"/>
      <c r="AQ107" s="25"/>
      <c r="AR107" s="25"/>
      <c r="AS107" s="25"/>
      <c r="AT107" s="25"/>
      <c r="AU107" s="25"/>
      <c r="AV107" s="25"/>
    </row>
    <row r="108" spans="8:48" s="1" customFormat="1" x14ac:dyDescent="0.3">
      <c r="H108" s="52"/>
      <c r="J108" s="53"/>
      <c r="K108" s="53"/>
      <c r="L108" s="53"/>
      <c r="M108" s="53"/>
      <c r="N108" s="54"/>
      <c r="O108" s="54"/>
      <c r="P108" s="54"/>
      <c r="Q108" s="54"/>
      <c r="R108" s="54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54"/>
      <c r="AH108" s="54"/>
      <c r="AI108" s="54"/>
      <c r="AJ108" s="54"/>
      <c r="AK108" s="54"/>
      <c r="AL108" s="54"/>
      <c r="AM108" s="54"/>
      <c r="AN108" s="54"/>
      <c r="AO108" s="54"/>
      <c r="AP108" s="25"/>
      <c r="AQ108" s="25"/>
      <c r="AR108" s="25"/>
      <c r="AS108" s="25"/>
      <c r="AT108" s="25"/>
      <c r="AU108" s="25"/>
      <c r="AV108" s="25"/>
    </row>
    <row r="109" spans="8:48" s="1" customFormat="1" x14ac:dyDescent="0.3">
      <c r="H109" s="52"/>
      <c r="J109" s="53"/>
      <c r="K109" s="53"/>
      <c r="L109" s="53"/>
      <c r="M109" s="53"/>
      <c r="N109" s="54"/>
      <c r="O109" s="54"/>
      <c r="P109" s="54"/>
      <c r="Q109" s="54"/>
      <c r="R109" s="54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54"/>
      <c r="AH109" s="54"/>
      <c r="AI109" s="54"/>
      <c r="AJ109" s="54"/>
      <c r="AK109" s="54"/>
      <c r="AL109" s="54"/>
      <c r="AM109" s="54"/>
      <c r="AN109" s="54"/>
      <c r="AO109" s="54"/>
      <c r="AP109" s="25"/>
      <c r="AQ109" s="25"/>
      <c r="AR109" s="25"/>
      <c r="AS109" s="25"/>
      <c r="AT109" s="25"/>
      <c r="AU109" s="25"/>
      <c r="AV109" s="25"/>
    </row>
    <row r="110" spans="8:48" s="1" customFormat="1" x14ac:dyDescent="0.3">
      <c r="H110" s="52"/>
      <c r="J110" s="53"/>
      <c r="K110" s="53"/>
      <c r="L110" s="53"/>
      <c r="M110" s="53"/>
      <c r="N110" s="54"/>
      <c r="O110" s="54"/>
      <c r="P110" s="54"/>
      <c r="Q110" s="54"/>
      <c r="R110" s="54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54"/>
      <c r="AH110" s="54"/>
      <c r="AI110" s="54"/>
      <c r="AJ110" s="54"/>
      <c r="AK110" s="54"/>
      <c r="AL110" s="54"/>
      <c r="AM110" s="54"/>
      <c r="AN110" s="54"/>
      <c r="AO110" s="54"/>
      <c r="AP110" s="25"/>
      <c r="AQ110" s="25"/>
      <c r="AR110" s="25"/>
      <c r="AS110" s="25"/>
      <c r="AT110" s="25"/>
      <c r="AU110" s="25"/>
      <c r="AV110" s="25"/>
    </row>
    <row r="111" spans="8:48" s="1" customFormat="1" x14ac:dyDescent="0.3">
      <c r="H111" s="52"/>
      <c r="J111" s="53"/>
      <c r="K111" s="53"/>
      <c r="L111" s="53"/>
      <c r="M111" s="53"/>
      <c r="N111" s="54"/>
      <c r="O111" s="54"/>
      <c r="P111" s="54"/>
      <c r="Q111" s="54"/>
      <c r="R111" s="54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54"/>
      <c r="AH111" s="54"/>
      <c r="AI111" s="54"/>
      <c r="AJ111" s="54"/>
      <c r="AK111" s="54"/>
      <c r="AL111" s="54"/>
      <c r="AM111" s="54"/>
      <c r="AN111" s="54"/>
      <c r="AO111" s="54"/>
      <c r="AP111" s="25"/>
      <c r="AQ111" s="25"/>
      <c r="AR111" s="25"/>
      <c r="AS111" s="25"/>
      <c r="AT111" s="25"/>
      <c r="AU111" s="25"/>
      <c r="AV111" s="25"/>
    </row>
    <row r="112" spans="8:48" s="1" customFormat="1" x14ac:dyDescent="0.3">
      <c r="H112" s="52"/>
      <c r="J112" s="53"/>
      <c r="K112" s="53"/>
      <c r="L112" s="53"/>
      <c r="M112" s="53"/>
      <c r="N112" s="54"/>
      <c r="O112" s="54"/>
      <c r="P112" s="54"/>
      <c r="Q112" s="54"/>
      <c r="R112" s="54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54"/>
      <c r="AH112" s="54"/>
      <c r="AI112" s="54"/>
      <c r="AJ112" s="54"/>
      <c r="AK112" s="54"/>
      <c r="AL112" s="54"/>
      <c r="AM112" s="54"/>
      <c r="AN112" s="54"/>
      <c r="AO112" s="54"/>
      <c r="AP112" s="25"/>
      <c r="AQ112" s="25"/>
      <c r="AR112" s="25"/>
      <c r="AS112" s="25"/>
      <c r="AT112" s="25"/>
      <c r="AU112" s="25"/>
      <c r="AV112" s="25"/>
    </row>
    <row r="113" spans="8:48" s="1" customFormat="1" x14ac:dyDescent="0.3">
      <c r="H113" s="52"/>
      <c r="J113" s="53"/>
      <c r="K113" s="53"/>
      <c r="L113" s="53"/>
      <c r="M113" s="53"/>
      <c r="N113" s="54"/>
      <c r="O113" s="54"/>
      <c r="P113" s="54"/>
      <c r="Q113" s="54"/>
      <c r="R113" s="54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54"/>
      <c r="AH113" s="54"/>
      <c r="AI113" s="54"/>
      <c r="AJ113" s="54"/>
      <c r="AK113" s="54"/>
      <c r="AL113" s="54"/>
      <c r="AM113" s="54"/>
      <c r="AN113" s="54"/>
      <c r="AO113" s="54"/>
      <c r="AP113" s="25"/>
      <c r="AQ113" s="25"/>
      <c r="AR113" s="25"/>
      <c r="AS113" s="25"/>
      <c r="AT113" s="25"/>
      <c r="AU113" s="25"/>
      <c r="AV113" s="25"/>
    </row>
    <row r="114" spans="8:48" s="1" customFormat="1" x14ac:dyDescent="0.3">
      <c r="H114" s="52"/>
      <c r="J114" s="53"/>
      <c r="K114" s="53"/>
      <c r="L114" s="53"/>
      <c r="M114" s="53"/>
      <c r="N114" s="54"/>
      <c r="O114" s="54"/>
      <c r="P114" s="54"/>
      <c r="Q114" s="54"/>
      <c r="R114" s="54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54"/>
      <c r="AH114" s="54"/>
      <c r="AI114" s="54"/>
      <c r="AJ114" s="54"/>
      <c r="AK114" s="54"/>
      <c r="AL114" s="54"/>
      <c r="AM114" s="54"/>
      <c r="AN114" s="54"/>
      <c r="AO114" s="54"/>
      <c r="AP114" s="25"/>
      <c r="AQ114" s="25"/>
      <c r="AR114" s="25"/>
      <c r="AS114" s="25"/>
      <c r="AT114" s="25"/>
      <c r="AU114" s="25"/>
      <c r="AV114" s="25"/>
    </row>
    <row r="115" spans="8:48" s="1" customFormat="1" x14ac:dyDescent="0.3">
      <c r="H115" s="52"/>
      <c r="J115" s="53"/>
      <c r="K115" s="53"/>
      <c r="L115" s="53"/>
      <c r="M115" s="53"/>
      <c r="N115" s="54"/>
      <c r="O115" s="54"/>
      <c r="P115" s="54"/>
      <c r="Q115" s="54"/>
      <c r="R115" s="54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54"/>
      <c r="AH115" s="54"/>
      <c r="AI115" s="54"/>
      <c r="AJ115" s="54"/>
      <c r="AK115" s="54"/>
      <c r="AL115" s="54"/>
      <c r="AM115" s="54"/>
      <c r="AN115" s="54"/>
      <c r="AO115" s="54"/>
      <c r="AP115" s="25"/>
      <c r="AQ115" s="25"/>
      <c r="AR115" s="25"/>
      <c r="AS115" s="25"/>
      <c r="AT115" s="25"/>
      <c r="AU115" s="25"/>
      <c r="AV115" s="25"/>
    </row>
  </sheetData>
  <sheetProtection algorithmName="SHA-512" hashValue="I8mAk2GKCGjhwG1xhDJiuIQ/JpFj1dewam05WfsU2ORKQu4tnx+r7mn/QlI/7q77Yqg2RNZi9bv+xO0YQvsw3A==" saltValue="8oRrgMyeQ+XhvS/29mrNgw==" spinCount="100000" sheet="1" selectLockedCells="1"/>
  <mergeCells count="21">
    <mergeCell ref="B2:J3"/>
    <mergeCell ref="B32:C32"/>
    <mergeCell ref="B28:E28"/>
    <mergeCell ref="B12:E12"/>
    <mergeCell ref="B13:C13"/>
    <mergeCell ref="H12:I12"/>
    <mergeCell ref="B9:J9"/>
    <mergeCell ref="C5:E5"/>
    <mergeCell ref="C7:E7"/>
    <mergeCell ref="C6:D6"/>
    <mergeCell ref="I5:J5"/>
    <mergeCell ref="I6:J6"/>
    <mergeCell ref="B19:F19"/>
    <mergeCell ref="G19:G20"/>
    <mergeCell ref="G24:G25"/>
    <mergeCell ref="D38:K39"/>
    <mergeCell ref="B14:C14"/>
    <mergeCell ref="B15:C15"/>
    <mergeCell ref="B16:C16"/>
    <mergeCell ref="B17:C17"/>
    <mergeCell ref="F30:F31"/>
  </mergeCells>
  <conditionalFormatting sqref="E13:F13">
    <cfRule type="cellIs" dxfId="15" priority="22" operator="greaterThan">
      <formula>0.05</formula>
    </cfRule>
  </conditionalFormatting>
  <conditionalFormatting sqref="F13">
    <cfRule type="containsText" dxfId="14" priority="12" operator="containsText" text="NOT COMPLIANT">
      <formula>NOT(ISERROR(SEARCH("NOT COMPLIANT",F13)))</formula>
    </cfRule>
    <cfRule type="containsText" dxfId="13" priority="13" operator="containsText" text="COMPLIANT">
      <formula>NOT(ISERROR(SEARCH("COMPLIANT",F13)))</formula>
    </cfRule>
  </conditionalFormatting>
  <conditionalFormatting sqref="F21:F26">
    <cfRule type="cellIs" dxfId="12" priority="23" operator="lessThan">
      <formula>0.7</formula>
    </cfRule>
  </conditionalFormatting>
  <conditionalFormatting sqref="F32">
    <cfRule type="containsText" dxfId="11" priority="6" operator="containsText" text="NOT COMPLIANT">
      <formula>NOT(ISERROR(SEARCH("NOT COMPLIANT",F32)))</formula>
    </cfRule>
    <cfRule type="containsText" dxfId="10" priority="7" operator="containsText" text="COMPLIANT">
      <formula>NOT(ISERROR(SEARCH("COMPLIANT",F32)))</formula>
    </cfRule>
    <cfRule type="cellIs" dxfId="9" priority="8" operator="greaterThan">
      <formula>0.05</formula>
    </cfRule>
  </conditionalFormatting>
  <conditionalFormatting sqref="G21">
    <cfRule type="containsText" dxfId="8" priority="9" operator="containsText" text="NOT COMPLIANT">
      <formula>NOT(ISERROR(SEARCH("NOT COMPLIANT",G21)))</formula>
    </cfRule>
    <cfRule type="containsText" dxfId="7" priority="10" operator="containsText" text="COMPLIANT">
      <formula>NOT(ISERROR(SEARCH("COMPLIANT",G21)))</formula>
    </cfRule>
    <cfRule type="cellIs" dxfId="6" priority="11" operator="greaterThan">
      <formula>0.05</formula>
    </cfRule>
  </conditionalFormatting>
  <conditionalFormatting sqref="G26">
    <cfRule type="containsText" dxfId="5" priority="3" operator="containsText" text="NOT COMPLIANT">
      <formula>NOT(ISERROR(SEARCH("NOT COMPLIANT",G26)))</formula>
    </cfRule>
    <cfRule type="containsText" dxfId="4" priority="4" operator="containsText" text="COMPLIANT">
      <formula>NOT(ISERROR(SEARCH("COMPLIANT",G26)))</formula>
    </cfRule>
    <cfRule type="cellIs" dxfId="3" priority="5" operator="greaterThan">
      <formula>0.05</formula>
    </cfRule>
  </conditionalFormatting>
  <conditionalFormatting sqref="I13">
    <cfRule type="cellIs" dxfId="2" priority="25" operator="greaterThan">
      <formula>$I$14</formula>
    </cfRule>
  </conditionalFormatting>
  <conditionalFormatting sqref="J13">
    <cfRule type="containsText" dxfId="1" priority="1" operator="containsText" text="NOT COMPLIANT">
      <formula>NOT(ISERROR(SEARCH("NOT COMPLIANT",J13)))</formula>
    </cfRule>
    <cfRule type="containsText" dxfId="0" priority="2" operator="containsText" text="COMPLIANT">
      <formula>NOT(ISERROR(SEARCH("COMPLIANT",J13)))</formula>
    </cfRule>
  </conditionalFormatting>
  <pageMargins left="0.28999999999999998" right="0.24" top="0.36" bottom="0.4" header="0.3" footer="0.3"/>
  <pageSetup paperSize="9" scale="43" orientation="portrait" r:id="rId1"/>
  <rowBreaks count="1" manualBreakCount="1">
    <brk id="36" max="16383" man="1"/>
  </rowBreaks>
  <ignoredErrors>
    <ignoredError sqref="C5:E6 I5:J6 D7:E7" unlockedFormula="1"/>
    <ignoredError sqref="AK21:AK25 AN22:AN23" evalErro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223907E303B24DB19A7F1D8E37E60E" ma:contentTypeVersion="5" ma:contentTypeDescription="Create a new document." ma:contentTypeScope="" ma:versionID="9deec0b83f8489068c661c31d6ec9a82">
  <xsd:schema xmlns:xsd="http://www.w3.org/2001/XMLSchema" xmlns:xs="http://www.w3.org/2001/XMLSchema" xmlns:p="http://schemas.microsoft.com/office/2006/metadata/properties" xmlns:ns2="4df88d3b-a529-43aa-af86-afa8016ae9e9" xmlns:ns3="c316f646-2179-43a7-ba72-ac973ce424c0" targetNamespace="http://schemas.microsoft.com/office/2006/metadata/properties" ma:root="true" ma:fieldsID="a518129f5c4174c5a89c6e4acf089ea1" ns2:_="" ns3:_="">
    <xsd:import namespace="4df88d3b-a529-43aa-af86-afa8016ae9e9"/>
    <xsd:import namespace="c316f646-2179-43a7-ba72-ac973ce424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88d3b-a529-43aa-af86-afa8016ae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6f646-2179-43a7-ba72-ac973ce424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C50F7-C486-4EFF-B303-6B6640CB25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2C1FBD-FD5C-4EAE-90F2-B07B93E2E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88d3b-a529-43aa-af86-afa8016ae9e9"/>
    <ds:schemaRef ds:uri="c316f646-2179-43a7-ba72-ac973ce424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69451-232B-4951-A1C9-B68533FA538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11</vt:i4>
      </vt:variant>
    </vt:vector>
  </HeadingPairs>
  <TitlesOfParts>
    <vt:vector size="14" baseType="lpstr">
      <vt:lpstr>Informations générales</vt:lpstr>
      <vt:lpstr>Plan plaque - Saisie lectures</vt:lpstr>
      <vt:lpstr>Résultats</vt:lpstr>
      <vt:lpstr>Résultats!A</vt:lpstr>
      <vt:lpstr>Résultats!ABS_LOD</vt:lpstr>
      <vt:lpstr>Résultats!ABS_LOQ</vt:lpstr>
      <vt:lpstr>Résultats!COEFF_A</vt:lpstr>
      <vt:lpstr>Résultats!COEFF_B</vt:lpstr>
      <vt:lpstr>Résultats!COEFF_C</vt:lpstr>
      <vt:lpstr>Résultats!NSB</vt:lpstr>
      <vt:lpstr>Résultats!SATURATION</vt:lpstr>
      <vt:lpstr>'Informations générales'!Zone_d_impression</vt:lpstr>
      <vt:lpstr>'Plan plaque - Saisie lectures'!Zone_d_impression</vt:lpstr>
      <vt:lpstr>Résultats!Zone_d_impression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2025-12-15T09:51:09Z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0x010100FB223907E303B24DB19A7F1D8E37E60E</vt:lpwstr>
  </property>
</Properties>
</file>